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activeTab="1"/>
  </bookViews>
  <sheets>
    <sheet name="2025" sheetId="1" r:id="rId1"/>
    <sheet name="2024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AY25" i="2" l="1"/>
  <c r="AM25" i="2"/>
  <c r="AG25" i="2"/>
  <c r="AD25" i="2"/>
  <c r="R25" i="2"/>
  <c r="R15" i="2" s="1"/>
  <c r="P25" i="2"/>
  <c r="O25" i="2"/>
  <c r="N25" i="2"/>
  <c r="M25" i="2"/>
  <c r="L25" i="2"/>
  <c r="K25" i="2"/>
  <c r="J25" i="2"/>
  <c r="I25" i="2"/>
  <c r="H25" i="2"/>
  <c r="G25" i="2"/>
  <c r="T25" i="2" s="1"/>
  <c r="V25" i="2" s="1"/>
  <c r="T24" i="2"/>
  <c r="V24" i="2" s="1"/>
  <c r="W24" i="2" s="1"/>
  <c r="Y24" i="2" s="1"/>
  <c r="Z24" i="2" s="1"/>
  <c r="AB24" i="2" s="1"/>
  <c r="AC24" i="2" s="1"/>
  <c r="AE24" i="2" s="1"/>
  <c r="N24" i="2"/>
  <c r="L24" i="2"/>
  <c r="K24" i="2"/>
  <c r="S24" i="2" s="1"/>
  <c r="AY23" i="2"/>
  <c r="AA23" i="2"/>
  <c r="T23" i="2"/>
  <c r="V23" i="2" s="1"/>
  <c r="P23" i="2"/>
  <c r="O23" i="2"/>
  <c r="N23" i="2"/>
  <c r="L23" i="2"/>
  <c r="K23" i="2"/>
  <c r="J23" i="2"/>
  <c r="H23" i="2"/>
  <c r="S23" i="2" s="1"/>
  <c r="AY22" i="2"/>
  <c r="AM22" i="2"/>
  <c r="V22" i="2"/>
  <c r="W22" i="2" s="1"/>
  <c r="Y22" i="2" s="1"/>
  <c r="Z22" i="2" s="1"/>
  <c r="AB22" i="2" s="1"/>
  <c r="AC22" i="2" s="1"/>
  <c r="AE22" i="2" s="1"/>
  <c r="AF22" i="2" s="1"/>
  <c r="AH22" i="2" s="1"/>
  <c r="AI22" i="2" s="1"/>
  <c r="AK22" i="2" s="1"/>
  <c r="AL22" i="2" s="1"/>
  <c r="AN22" i="2" s="1"/>
  <c r="AO22" i="2" s="1"/>
  <c r="AQ22" i="2" s="1"/>
  <c r="AR22" i="2" s="1"/>
  <c r="AT22" i="2" s="1"/>
  <c r="AU22" i="2" s="1"/>
  <c r="AW22" i="2" s="1"/>
  <c r="AX22" i="2" s="1"/>
  <c r="AZ22" i="2" s="1"/>
  <c r="BA22" i="2" s="1"/>
  <c r="BC22" i="2" s="1"/>
  <c r="T22" i="2"/>
  <c r="P22" i="2"/>
  <c r="P15" i="2" s="1"/>
  <c r="O22" i="2"/>
  <c r="N22" i="2"/>
  <c r="M22" i="2"/>
  <c r="L22" i="2"/>
  <c r="S22" i="2" s="1"/>
  <c r="T21" i="2"/>
  <c r="V21" i="2" s="1"/>
  <c r="W21" i="2" s="1"/>
  <c r="Y21" i="2" s="1"/>
  <c r="Z21" i="2" s="1"/>
  <c r="AB21" i="2" s="1"/>
  <c r="AC21" i="2" s="1"/>
  <c r="AE21" i="2" s="1"/>
  <c r="AF21" i="2" s="1"/>
  <c r="AH21" i="2" s="1"/>
  <c r="AI21" i="2" s="1"/>
  <c r="AK21" i="2" s="1"/>
  <c r="AL21" i="2" s="1"/>
  <c r="AN21" i="2" s="1"/>
  <c r="AO21" i="2" s="1"/>
  <c r="AQ21" i="2" s="1"/>
  <c r="AR21" i="2" s="1"/>
  <c r="AT21" i="2" s="1"/>
  <c r="AU21" i="2" s="1"/>
  <c r="AW21" i="2" s="1"/>
  <c r="AX21" i="2" s="1"/>
  <c r="AZ21" i="2" s="1"/>
  <c r="BA21" i="2" s="1"/>
  <c r="BC21" i="2" s="1"/>
  <c r="N21" i="2"/>
  <c r="L21" i="2"/>
  <c r="K21" i="2"/>
  <c r="J21" i="2"/>
  <c r="S21" i="2" s="1"/>
  <c r="BB20" i="2"/>
  <c r="T20" i="2"/>
  <c r="V20" i="2" s="1"/>
  <c r="R20" i="2"/>
  <c r="Q20" i="2"/>
  <c r="P20" i="2"/>
  <c r="O20" i="2"/>
  <c r="N20" i="2"/>
  <c r="J20" i="2"/>
  <c r="J15" i="2" s="1"/>
  <c r="I20" i="2"/>
  <c r="H20" i="2"/>
  <c r="W20" i="2" s="1"/>
  <c r="Y20" i="2" s="1"/>
  <c r="Z20" i="2" s="1"/>
  <c r="AB20" i="2" s="1"/>
  <c r="AC20" i="2" s="1"/>
  <c r="AE20" i="2" s="1"/>
  <c r="AF20" i="2" s="1"/>
  <c r="AH20" i="2" s="1"/>
  <c r="AI20" i="2" s="1"/>
  <c r="AK20" i="2" s="1"/>
  <c r="AL20" i="2" s="1"/>
  <c r="AN20" i="2" s="1"/>
  <c r="AO20" i="2" s="1"/>
  <c r="AQ20" i="2" s="1"/>
  <c r="AR20" i="2" s="1"/>
  <c r="AT20" i="2" s="1"/>
  <c r="AU20" i="2" s="1"/>
  <c r="AW20" i="2" s="1"/>
  <c r="AX20" i="2" s="1"/>
  <c r="AZ20" i="2" s="1"/>
  <c r="BA20" i="2" s="1"/>
  <c r="BC20" i="2" s="1"/>
  <c r="G20" i="2"/>
  <c r="BB19" i="2"/>
  <c r="T19" i="2"/>
  <c r="V19" i="2" s="1"/>
  <c r="W19" i="2" s="1"/>
  <c r="Y19" i="2" s="1"/>
  <c r="Z19" i="2" s="1"/>
  <c r="AB19" i="2" s="1"/>
  <c r="AC19" i="2" s="1"/>
  <c r="AE19" i="2" s="1"/>
  <c r="AF19" i="2" s="1"/>
  <c r="AH19" i="2" s="1"/>
  <c r="AI19" i="2" s="1"/>
  <c r="AK19" i="2" s="1"/>
  <c r="AL19" i="2" s="1"/>
  <c r="AN19" i="2" s="1"/>
  <c r="AO19" i="2" s="1"/>
  <c r="AQ19" i="2" s="1"/>
  <c r="AR19" i="2" s="1"/>
  <c r="AT19" i="2" s="1"/>
  <c r="AU19" i="2" s="1"/>
  <c r="AW19" i="2" s="1"/>
  <c r="AX19" i="2" s="1"/>
  <c r="AZ19" i="2" s="1"/>
  <c r="BA19" i="2" s="1"/>
  <c r="BC19" i="2" s="1"/>
  <c r="O19" i="2"/>
  <c r="L19" i="2"/>
  <c r="L15" i="2" s="1"/>
  <c r="I19" i="2"/>
  <c r="AV18" i="2"/>
  <c r="AP18" i="2"/>
  <c r="AM18" i="2"/>
  <c r="T18" i="2"/>
  <c r="V18" i="2" s="1"/>
  <c r="W18" i="2" s="1"/>
  <c r="Y18" i="2" s="1"/>
  <c r="Z18" i="2" s="1"/>
  <c r="AB18" i="2" s="1"/>
  <c r="AC18" i="2" s="1"/>
  <c r="AE18" i="2" s="1"/>
  <c r="AF18" i="2" s="1"/>
  <c r="AH18" i="2" s="1"/>
  <c r="AI18" i="2" s="1"/>
  <c r="AK18" i="2" s="1"/>
  <c r="AL18" i="2" s="1"/>
  <c r="AN18" i="2" s="1"/>
  <c r="AO18" i="2" s="1"/>
  <c r="AQ18" i="2" s="1"/>
  <c r="AR18" i="2" s="1"/>
  <c r="AT18" i="2" s="1"/>
  <c r="AU18" i="2" s="1"/>
  <c r="AW18" i="2" s="1"/>
  <c r="AX18" i="2" s="1"/>
  <c r="AZ18" i="2" s="1"/>
  <c r="BA18" i="2" s="1"/>
  <c r="BC18" i="2" s="1"/>
  <c r="O18" i="2"/>
  <c r="N18" i="2"/>
  <c r="S18" i="2" s="1"/>
  <c r="BB17" i="2"/>
  <c r="AV17" i="2"/>
  <c r="AM17" i="2"/>
  <c r="AJ17" i="2"/>
  <c r="AJ15" i="2" s="1"/>
  <c r="Q17" i="2"/>
  <c r="O17" i="2"/>
  <c r="L17" i="2"/>
  <c r="K17" i="2"/>
  <c r="J17" i="2"/>
  <c r="H17" i="2"/>
  <c r="H15" i="2" s="1"/>
  <c r="W15" i="2" s="1"/>
  <c r="G17" i="2"/>
  <c r="T17" i="2" s="1"/>
  <c r="V17" i="2" s="1"/>
  <c r="BB16" i="2"/>
  <c r="BB15" i="2" s="1"/>
  <c r="AY16" i="2"/>
  <c r="AV16" i="2"/>
  <c r="AV15" i="2" s="1"/>
  <c r="AP16" i="2"/>
  <c r="AM16" i="2"/>
  <c r="AJ16" i="2"/>
  <c r="AD16" i="2"/>
  <c r="AD15" i="2" s="1"/>
  <c r="AA16" i="2"/>
  <c r="X16" i="2"/>
  <c r="X15" i="2" s="1"/>
  <c r="R16" i="2"/>
  <c r="Q16" i="2"/>
  <c r="P16" i="2"/>
  <c r="O16" i="2"/>
  <c r="N16" i="2"/>
  <c r="M16" i="2"/>
  <c r="L16" i="2"/>
  <c r="K16" i="2"/>
  <c r="J16" i="2"/>
  <c r="I16" i="2"/>
  <c r="H16" i="2"/>
  <c r="G16" i="2"/>
  <c r="S16" i="2" s="1"/>
  <c r="AY15" i="2"/>
  <c r="AS15" i="2"/>
  <c r="AP15" i="2"/>
  <c r="AM15" i="2"/>
  <c r="AG15" i="2"/>
  <c r="AA15" i="2"/>
  <c r="U15" i="2"/>
  <c r="Q15" i="2"/>
  <c r="O15" i="2"/>
  <c r="M15" i="2"/>
  <c r="K15" i="2"/>
  <c r="I15" i="2"/>
  <c r="G15" i="2"/>
  <c r="T15" i="2" s="1"/>
  <c r="V15" i="2" s="1"/>
  <c r="T14" i="2"/>
  <c r="V14" i="2" s="1"/>
  <c r="W14" i="2" s="1"/>
  <c r="Y14" i="2" s="1"/>
  <c r="Z14" i="2" s="1"/>
  <c r="AB14" i="2" s="1"/>
  <c r="AC14" i="2" s="1"/>
  <c r="AE14" i="2" s="1"/>
  <c r="AF14" i="2" s="1"/>
  <c r="AH14" i="2" s="1"/>
  <c r="AI14" i="2" s="1"/>
  <c r="AK14" i="2" s="1"/>
  <c r="AL14" i="2" s="1"/>
  <c r="AN14" i="2" s="1"/>
  <c r="AO14" i="2" s="1"/>
  <c r="AQ14" i="2" s="1"/>
  <c r="AR14" i="2" s="1"/>
  <c r="AT14" i="2" s="1"/>
  <c r="AU14" i="2" s="1"/>
  <c r="AW14" i="2" s="1"/>
  <c r="AX14" i="2" s="1"/>
  <c r="AZ14" i="2" s="1"/>
  <c r="BA14" i="2" s="1"/>
  <c r="BC14" i="2" s="1"/>
  <c r="P14" i="2"/>
  <c r="N14" i="2"/>
  <c r="S14" i="2" s="1"/>
  <c r="K14" i="2"/>
  <c r="AJ13" i="2"/>
  <c r="AJ9" i="2" s="1"/>
  <c r="T13" i="2"/>
  <c r="V13" i="2" s="1"/>
  <c r="W13" i="2" s="1"/>
  <c r="Y13" i="2" s="1"/>
  <c r="Z13" i="2" s="1"/>
  <c r="AB13" i="2" s="1"/>
  <c r="AC13" i="2" s="1"/>
  <c r="AE13" i="2" s="1"/>
  <c r="AF13" i="2" s="1"/>
  <c r="AH13" i="2" s="1"/>
  <c r="AI13" i="2" s="1"/>
  <c r="AK13" i="2" s="1"/>
  <c r="AL13" i="2" s="1"/>
  <c r="AN13" i="2" s="1"/>
  <c r="AO13" i="2" s="1"/>
  <c r="AQ13" i="2" s="1"/>
  <c r="AR13" i="2" s="1"/>
  <c r="AT13" i="2" s="1"/>
  <c r="AU13" i="2" s="1"/>
  <c r="AW13" i="2" s="1"/>
  <c r="AX13" i="2" s="1"/>
  <c r="AZ13" i="2" s="1"/>
  <c r="BA13" i="2" s="1"/>
  <c r="BC13" i="2" s="1"/>
  <c r="N13" i="2"/>
  <c r="M13" i="2"/>
  <c r="L13" i="2"/>
  <c r="K13" i="2"/>
  <c r="T12" i="2"/>
  <c r="V12" i="2" s="1"/>
  <c r="W12" i="2" s="1"/>
  <c r="Y12" i="2" s="1"/>
  <c r="Z12" i="2" s="1"/>
  <c r="AB12" i="2" s="1"/>
  <c r="AC12" i="2" s="1"/>
  <c r="AE12" i="2" s="1"/>
  <c r="AF12" i="2" s="1"/>
  <c r="AH12" i="2" s="1"/>
  <c r="AI12" i="2" s="1"/>
  <c r="AK12" i="2" s="1"/>
  <c r="AL12" i="2" s="1"/>
  <c r="AN12" i="2" s="1"/>
  <c r="AO12" i="2" s="1"/>
  <c r="AQ12" i="2" s="1"/>
  <c r="AR12" i="2" s="1"/>
  <c r="AT12" i="2" s="1"/>
  <c r="AU12" i="2" s="1"/>
  <c r="AW12" i="2" s="1"/>
  <c r="AX12" i="2" s="1"/>
  <c r="AZ12" i="2" s="1"/>
  <c r="BA12" i="2" s="1"/>
  <c r="BC12" i="2" s="1"/>
  <c r="L12" i="2"/>
  <c r="K12" i="2"/>
  <c r="S12" i="2" s="1"/>
  <c r="T11" i="2"/>
  <c r="V11" i="2" s="1"/>
  <c r="W11" i="2" s="1"/>
  <c r="Y11" i="2" s="1"/>
  <c r="Z11" i="2" s="1"/>
  <c r="AB11" i="2" s="1"/>
  <c r="AC11" i="2" s="1"/>
  <c r="AE11" i="2" s="1"/>
  <c r="AF11" i="2" s="1"/>
  <c r="AH11" i="2" s="1"/>
  <c r="AI11" i="2" s="1"/>
  <c r="AK11" i="2" s="1"/>
  <c r="AL11" i="2" s="1"/>
  <c r="AN11" i="2" s="1"/>
  <c r="AO11" i="2" s="1"/>
  <c r="AQ11" i="2" s="1"/>
  <c r="AR11" i="2" s="1"/>
  <c r="AT11" i="2" s="1"/>
  <c r="AU11" i="2" s="1"/>
  <c r="AW11" i="2" s="1"/>
  <c r="AX11" i="2" s="1"/>
  <c r="AZ11" i="2" s="1"/>
  <c r="BA11" i="2" s="1"/>
  <c r="BC11" i="2" s="1"/>
  <c r="N11" i="2"/>
  <c r="M11" i="2"/>
  <c r="S11" i="2" s="1"/>
  <c r="BB10" i="2"/>
  <c r="N10" i="2"/>
  <c r="N9" i="2" s="1"/>
  <c r="L10" i="2"/>
  <c r="K10" i="2"/>
  <c r="J10" i="2"/>
  <c r="G10" i="2"/>
  <c r="T10" i="2" s="1"/>
  <c r="V10" i="2" s="1"/>
  <c r="W10" i="2" s="1"/>
  <c r="Y10" i="2" s="1"/>
  <c r="Z10" i="2" s="1"/>
  <c r="AB10" i="2" s="1"/>
  <c r="AC10" i="2" s="1"/>
  <c r="AE10" i="2" s="1"/>
  <c r="AF10" i="2" s="1"/>
  <c r="AH10" i="2" s="1"/>
  <c r="AI10" i="2" s="1"/>
  <c r="AK10" i="2" s="1"/>
  <c r="AL10" i="2" s="1"/>
  <c r="AN10" i="2" s="1"/>
  <c r="AO10" i="2" s="1"/>
  <c r="AQ10" i="2" s="1"/>
  <c r="AR10" i="2" s="1"/>
  <c r="AT10" i="2" s="1"/>
  <c r="AU10" i="2" s="1"/>
  <c r="AW10" i="2" s="1"/>
  <c r="AX10" i="2" s="1"/>
  <c r="AZ10" i="2" s="1"/>
  <c r="BA10" i="2" s="1"/>
  <c r="BC10" i="2" s="1"/>
  <c r="BB9" i="2"/>
  <c r="AY9" i="2"/>
  <c r="AV9" i="2"/>
  <c r="AS9" i="2"/>
  <c r="AP9" i="2"/>
  <c r="AM9" i="2"/>
  <c r="AG9" i="2"/>
  <c r="AD9" i="2"/>
  <c r="AA9" i="2"/>
  <c r="X9" i="2"/>
  <c r="U9" i="2"/>
  <c r="R9" i="2"/>
  <c r="Q9" i="2"/>
  <c r="P9" i="2"/>
  <c r="O9" i="2"/>
  <c r="J9" i="2"/>
  <c r="I9" i="2"/>
  <c r="H9" i="2"/>
  <c r="T8" i="2"/>
  <c r="V8" i="2" s="1"/>
  <c r="W8" i="2" s="1"/>
  <c r="Y8" i="2" s="1"/>
  <c r="Z8" i="2" s="1"/>
  <c r="AB8" i="2" s="1"/>
  <c r="AC8" i="2" s="1"/>
  <c r="AE8" i="2" s="1"/>
  <c r="AF8" i="2" s="1"/>
  <c r="AH8" i="2" s="1"/>
  <c r="AI8" i="2" s="1"/>
  <c r="AK8" i="2" s="1"/>
  <c r="AL8" i="2" s="1"/>
  <c r="AN8" i="2" s="1"/>
  <c r="AO8" i="2" s="1"/>
  <c r="AQ8" i="2" s="1"/>
  <c r="AR8" i="2" s="1"/>
  <c r="AT8" i="2" s="1"/>
  <c r="AU8" i="2" s="1"/>
  <c r="AW8" i="2" s="1"/>
  <c r="AX8" i="2" s="1"/>
  <c r="AZ8" i="2" s="1"/>
  <c r="BA8" i="2" s="1"/>
  <c r="BC8" i="2" s="1"/>
  <c r="Q8" i="2"/>
  <c r="S8" i="2" s="1"/>
  <c r="BD8" i="2" s="1"/>
  <c r="T7" i="2"/>
  <c r="V7" i="2" s="1"/>
  <c r="W7" i="2" s="1"/>
  <c r="Y7" i="2" s="1"/>
  <c r="Z7" i="2" s="1"/>
  <c r="AB7" i="2" s="1"/>
  <c r="AC7" i="2" s="1"/>
  <c r="AE7" i="2" s="1"/>
  <c r="AF7" i="2" s="1"/>
  <c r="AH7" i="2" s="1"/>
  <c r="O7" i="2"/>
  <c r="N7" i="2"/>
  <c r="M7" i="2"/>
  <c r="L7" i="2"/>
  <c r="T6" i="2"/>
  <c r="V6" i="2" s="1"/>
  <c r="W6" i="2" s="1"/>
  <c r="Y6" i="2" s="1"/>
  <c r="Z6" i="2" s="1"/>
  <c r="AB6" i="2" s="1"/>
  <c r="AC6" i="2" s="1"/>
  <c r="AE6" i="2" s="1"/>
  <c r="AF6" i="2" s="1"/>
  <c r="AH6" i="2" s="1"/>
  <c r="M6" i="2"/>
  <c r="L6" i="2"/>
  <c r="S6" i="2" s="1"/>
  <c r="AD5" i="2"/>
  <c r="V5" i="2"/>
  <c r="W5" i="2" s="1"/>
  <c r="Y5" i="2" s="1"/>
  <c r="Z5" i="2" s="1"/>
  <c r="AB5" i="2" s="1"/>
  <c r="T5" i="2"/>
  <c r="R5" i="2"/>
  <c r="O5" i="2"/>
  <c r="N5" i="2"/>
  <c r="L5" i="2"/>
  <c r="J5" i="2"/>
  <c r="T26" i="1"/>
  <c r="V26" i="1" s="1"/>
  <c r="W26" i="1" s="1"/>
  <c r="Y26" i="1" s="1"/>
  <c r="Z26" i="1" s="1"/>
  <c r="AB26" i="1" s="1"/>
  <c r="AC26" i="1" s="1"/>
  <c r="AE26" i="1" s="1"/>
  <c r="AF26" i="1" s="1"/>
  <c r="AH26" i="1" s="1"/>
  <c r="AI26" i="1" s="1"/>
  <c r="AK26" i="1" s="1"/>
  <c r="AL26" i="1" s="1"/>
  <c r="AN26" i="1" s="1"/>
  <c r="AO26" i="1" s="1"/>
  <c r="AQ26" i="1" s="1"/>
  <c r="AR26" i="1" s="1"/>
  <c r="AT26" i="1" s="1"/>
  <c r="AU26" i="1" s="1"/>
  <c r="AW26" i="1" s="1"/>
  <c r="AX26" i="1" s="1"/>
  <c r="AZ26" i="1" s="1"/>
  <c r="BA26" i="1" s="1"/>
  <c r="BC26" i="1" s="1"/>
  <c r="S26" i="1"/>
  <c r="AS25" i="1"/>
  <c r="AP25" i="1"/>
  <c r="AM25" i="1"/>
  <c r="AD25" i="1"/>
  <c r="AA25" i="1"/>
  <c r="T25" i="1"/>
  <c r="V25" i="1" s="1"/>
  <c r="R25" i="1"/>
  <c r="Q25" i="1"/>
  <c r="P25" i="1"/>
  <c r="O25" i="1"/>
  <c r="N25" i="1"/>
  <c r="M25" i="1"/>
  <c r="L25" i="1"/>
  <c r="K25" i="1"/>
  <c r="J25" i="1"/>
  <c r="I25" i="1"/>
  <c r="H25" i="1"/>
  <c r="W25" i="1" s="1"/>
  <c r="Y25" i="1" s="1"/>
  <c r="Z25" i="1" s="1"/>
  <c r="AB25" i="1" s="1"/>
  <c r="AC25" i="1" s="1"/>
  <c r="AE25" i="1" s="1"/>
  <c r="AF25" i="1" s="1"/>
  <c r="AH25" i="1" s="1"/>
  <c r="AI25" i="1" s="1"/>
  <c r="AK25" i="1" s="1"/>
  <c r="AL25" i="1" s="1"/>
  <c r="AN25" i="1" s="1"/>
  <c r="AO25" i="1" s="1"/>
  <c r="AQ25" i="1" s="1"/>
  <c r="AR25" i="1" s="1"/>
  <c r="AT25" i="1" s="1"/>
  <c r="AU25" i="1" s="1"/>
  <c r="AW25" i="1" s="1"/>
  <c r="AX25" i="1" s="1"/>
  <c r="AZ25" i="1" s="1"/>
  <c r="BA25" i="1" s="1"/>
  <c r="BC25" i="1" s="1"/>
  <c r="AP24" i="1"/>
  <c r="AJ24" i="1"/>
  <c r="V24" i="1"/>
  <c r="W24" i="1" s="1"/>
  <c r="Y24" i="1" s="1"/>
  <c r="Z24" i="1" s="1"/>
  <c r="AB24" i="1" s="1"/>
  <c r="AC24" i="1" s="1"/>
  <c r="AE24" i="1" s="1"/>
  <c r="AF24" i="1" s="1"/>
  <c r="AH24" i="1" s="1"/>
  <c r="AI24" i="1" s="1"/>
  <c r="AK24" i="1" s="1"/>
  <c r="AL24" i="1" s="1"/>
  <c r="AN24" i="1" s="1"/>
  <c r="AO24" i="1" s="1"/>
  <c r="AQ24" i="1" s="1"/>
  <c r="AR24" i="1" s="1"/>
  <c r="AT24" i="1" s="1"/>
  <c r="AU24" i="1" s="1"/>
  <c r="AW24" i="1" s="1"/>
  <c r="AX24" i="1" s="1"/>
  <c r="AZ24" i="1" s="1"/>
  <c r="BA24" i="1" s="1"/>
  <c r="BC24" i="1" s="1"/>
  <c r="T24" i="1"/>
  <c r="O24" i="1"/>
  <c r="M24" i="1"/>
  <c r="L24" i="1"/>
  <c r="K24" i="1"/>
  <c r="AP23" i="1"/>
  <c r="AM23" i="1"/>
  <c r="AJ23" i="1"/>
  <c r="AD23" i="1"/>
  <c r="AA23" i="1"/>
  <c r="T23" i="1"/>
  <c r="V23" i="1" s="1"/>
  <c r="W23" i="1" s="1"/>
  <c r="Y23" i="1" s="1"/>
  <c r="Z23" i="1" s="1"/>
  <c r="AB23" i="1" s="1"/>
  <c r="AC23" i="1" s="1"/>
  <c r="AE23" i="1" s="1"/>
  <c r="AF23" i="1" s="1"/>
  <c r="AH23" i="1" s="1"/>
  <c r="AI23" i="1" s="1"/>
  <c r="AK23" i="1" s="1"/>
  <c r="AL23" i="1" s="1"/>
  <c r="AN23" i="1" s="1"/>
  <c r="AO23" i="1" s="1"/>
  <c r="AQ23" i="1" s="1"/>
  <c r="AR23" i="1" s="1"/>
  <c r="AT23" i="1" s="1"/>
  <c r="AU23" i="1" s="1"/>
  <c r="AW23" i="1" s="1"/>
  <c r="AX23" i="1" s="1"/>
  <c r="AZ23" i="1" s="1"/>
  <c r="BA23" i="1" s="1"/>
  <c r="BC23" i="1" s="1"/>
  <c r="R23" i="1"/>
  <c r="Q23" i="1"/>
  <c r="P23" i="1"/>
  <c r="O23" i="1"/>
  <c r="N23" i="1"/>
  <c r="M23" i="1"/>
  <c r="L23" i="1"/>
  <c r="K23" i="1"/>
  <c r="J23" i="1"/>
  <c r="I23" i="1"/>
  <c r="S23" i="1" s="1"/>
  <c r="AS22" i="1"/>
  <c r="AP22" i="1"/>
  <c r="AM22" i="1"/>
  <c r="AJ22" i="1"/>
  <c r="AA22" i="1"/>
  <c r="T22" i="1"/>
  <c r="V22" i="1" s="1"/>
  <c r="R22" i="1"/>
  <c r="Q22" i="1"/>
  <c r="P22" i="1"/>
  <c r="O22" i="1"/>
  <c r="N22" i="1"/>
  <c r="M22" i="1"/>
  <c r="L22" i="1"/>
  <c r="K22" i="1"/>
  <c r="J22" i="1"/>
  <c r="I22" i="1"/>
  <c r="H22" i="1"/>
  <c r="AS21" i="1"/>
  <c r="AP21" i="1"/>
  <c r="AJ21" i="1"/>
  <c r="T21" i="1"/>
  <c r="V21" i="1" s="1"/>
  <c r="W21" i="1" s="1"/>
  <c r="Y21" i="1" s="1"/>
  <c r="Z21" i="1" s="1"/>
  <c r="AB21" i="1" s="1"/>
  <c r="AC21" i="1" s="1"/>
  <c r="AE21" i="1" s="1"/>
  <c r="AF21" i="1" s="1"/>
  <c r="AH21" i="1" s="1"/>
  <c r="R21" i="1"/>
  <c r="O21" i="1"/>
  <c r="N21" i="1"/>
  <c r="M21" i="1"/>
  <c r="L21" i="1"/>
  <c r="S21" i="1" s="1"/>
  <c r="AG20" i="1"/>
  <c r="AA20" i="1"/>
  <c r="T20" i="1"/>
  <c r="V20" i="1" s="1"/>
  <c r="W20" i="1" s="1"/>
  <c r="Y20" i="1" s="1"/>
  <c r="Z20" i="1" s="1"/>
  <c r="AB20" i="1" s="1"/>
  <c r="AC20" i="1" s="1"/>
  <c r="AE20" i="1" s="1"/>
  <c r="AF20" i="1" s="1"/>
  <c r="AH20" i="1" s="1"/>
  <c r="AI20" i="1" s="1"/>
  <c r="AK20" i="1" s="1"/>
  <c r="AL20" i="1" s="1"/>
  <c r="AN20" i="1" s="1"/>
  <c r="AO20" i="1" s="1"/>
  <c r="AQ20" i="1" s="1"/>
  <c r="AR20" i="1" s="1"/>
  <c r="AT20" i="1" s="1"/>
  <c r="AU20" i="1" s="1"/>
  <c r="AW20" i="1" s="1"/>
  <c r="AX20" i="1" s="1"/>
  <c r="AZ20" i="1" s="1"/>
  <c r="BA20" i="1" s="1"/>
  <c r="BC20" i="1" s="1"/>
  <c r="R20" i="1"/>
  <c r="Q20" i="1"/>
  <c r="P20" i="1"/>
  <c r="O20" i="1"/>
  <c r="N20" i="1"/>
  <c r="M20" i="1"/>
  <c r="L20" i="1"/>
  <c r="K20" i="1"/>
  <c r="I20" i="1"/>
  <c r="AP19" i="1"/>
  <c r="AM19" i="1"/>
  <c r="AJ19" i="1"/>
  <c r="AG19" i="1"/>
  <c r="T19" i="1"/>
  <c r="V19" i="1" s="1"/>
  <c r="W19" i="1" s="1"/>
  <c r="Y19" i="1" s="1"/>
  <c r="P19" i="1"/>
  <c r="O19" i="1"/>
  <c r="L19" i="1"/>
  <c r="K19" i="1"/>
  <c r="J19" i="1"/>
  <c r="I19" i="1"/>
  <c r="S19" i="1" s="1"/>
  <c r="AS18" i="1"/>
  <c r="AP18" i="1"/>
  <c r="AP15" i="1" s="1"/>
  <c r="AM18" i="1"/>
  <c r="AJ18" i="1"/>
  <c r="AJ15" i="1" s="1"/>
  <c r="AG18" i="1"/>
  <c r="V18" i="1"/>
  <c r="W18" i="1" s="1"/>
  <c r="Y18" i="1" s="1"/>
  <c r="Z18" i="1" s="1"/>
  <c r="AB18" i="1" s="1"/>
  <c r="AC18" i="1" s="1"/>
  <c r="AE18" i="1" s="1"/>
  <c r="T18" i="1"/>
  <c r="O18" i="1"/>
  <c r="N18" i="1"/>
  <c r="M18" i="1"/>
  <c r="L18" i="1"/>
  <c r="K18" i="1"/>
  <c r="AP17" i="1"/>
  <c r="AM17" i="1"/>
  <c r="AJ17" i="1"/>
  <c r="AG17" i="1"/>
  <c r="AD17" i="1"/>
  <c r="AA17" i="1"/>
  <c r="T17" i="1"/>
  <c r="V17" i="1" s="1"/>
  <c r="R17" i="1"/>
  <c r="R15" i="1" s="1"/>
  <c r="Q17" i="1"/>
  <c r="P17" i="1"/>
  <c r="P15" i="1" s="1"/>
  <c r="O17" i="1"/>
  <c r="N17" i="1"/>
  <c r="N15" i="1" s="1"/>
  <c r="M17" i="1"/>
  <c r="L17" i="1"/>
  <c r="L15" i="1" s="1"/>
  <c r="K17" i="1"/>
  <c r="J17" i="1"/>
  <c r="J15" i="1" s="1"/>
  <c r="I17" i="1"/>
  <c r="H17" i="1"/>
  <c r="S17" i="1" s="1"/>
  <c r="AV16" i="1"/>
  <c r="AS16" i="1"/>
  <c r="AP16" i="1"/>
  <c r="AM16" i="1"/>
  <c r="AJ16" i="1"/>
  <c r="AG16" i="1"/>
  <c r="AD16" i="1"/>
  <c r="AA16" i="1"/>
  <c r="X16" i="1"/>
  <c r="U16" i="1"/>
  <c r="R16" i="1"/>
  <c r="Q16" i="1"/>
  <c r="P16" i="1"/>
  <c r="O16" i="1"/>
  <c r="N16" i="1"/>
  <c r="M16" i="1"/>
  <c r="L16" i="1"/>
  <c r="K16" i="1"/>
  <c r="J16" i="1"/>
  <c r="I16" i="1"/>
  <c r="H16" i="1"/>
  <c r="G16" i="1"/>
  <c r="T16" i="1" s="1"/>
  <c r="V16" i="1" s="1"/>
  <c r="BB15" i="1"/>
  <c r="AY15" i="1"/>
  <c r="AV15" i="1"/>
  <c r="AS15" i="1"/>
  <c r="AM15" i="1"/>
  <c r="AG15" i="1"/>
  <c r="AD15" i="1"/>
  <c r="AA15" i="1"/>
  <c r="X15" i="1"/>
  <c r="U15" i="1"/>
  <c r="Q15" i="1"/>
  <c r="O15" i="1"/>
  <c r="M15" i="1"/>
  <c r="K15" i="1"/>
  <c r="I15" i="1"/>
  <c r="G15" i="1"/>
  <c r="T15" i="1" s="1"/>
  <c r="V15" i="1" s="1"/>
  <c r="AS14" i="1"/>
  <c r="AG14" i="1"/>
  <c r="T14" i="1"/>
  <c r="V14" i="1" s="1"/>
  <c r="W14" i="1" s="1"/>
  <c r="Y14" i="1" s="1"/>
  <c r="Z14" i="1" s="1"/>
  <c r="AB14" i="1" s="1"/>
  <c r="P14" i="1"/>
  <c r="N14" i="1"/>
  <c r="L14" i="1"/>
  <c r="K14" i="1"/>
  <c r="J14" i="1"/>
  <c r="S14" i="1" s="1"/>
  <c r="AS13" i="1"/>
  <c r="AG13" i="1"/>
  <c r="T13" i="1"/>
  <c r="V13" i="1" s="1"/>
  <c r="W13" i="1" s="1"/>
  <c r="Y13" i="1" s="1"/>
  <c r="Z13" i="1" s="1"/>
  <c r="AB13" i="1" s="1"/>
  <c r="P13" i="1"/>
  <c r="N13" i="1"/>
  <c r="L13" i="1"/>
  <c r="K13" i="1"/>
  <c r="J13" i="1"/>
  <c r="S13" i="1" s="1"/>
  <c r="AS12" i="1"/>
  <c r="AP12" i="1"/>
  <c r="AM12" i="1"/>
  <c r="AJ12" i="1"/>
  <c r="AJ8" i="1" s="1"/>
  <c r="AG12" i="1"/>
  <c r="T12" i="1"/>
  <c r="V12" i="1" s="1"/>
  <c r="W12" i="1" s="1"/>
  <c r="Y12" i="1" s="1"/>
  <c r="Z12" i="1" s="1"/>
  <c r="AB12" i="1" s="1"/>
  <c r="AC12" i="1" s="1"/>
  <c r="AE12" i="1" s="1"/>
  <c r="N12" i="1"/>
  <c r="M12" i="1"/>
  <c r="L12" i="1"/>
  <c r="K12" i="1"/>
  <c r="S12" i="1" s="1"/>
  <c r="AM11" i="1"/>
  <c r="V11" i="1"/>
  <c r="W11" i="1" s="1"/>
  <c r="Y11" i="1" s="1"/>
  <c r="Z11" i="1" s="1"/>
  <c r="AB11" i="1" s="1"/>
  <c r="AC11" i="1" s="1"/>
  <c r="AE11" i="1" s="1"/>
  <c r="AF11" i="1" s="1"/>
  <c r="AH11" i="1" s="1"/>
  <c r="AI11" i="1" s="1"/>
  <c r="AK11" i="1" s="1"/>
  <c r="AL11" i="1" s="1"/>
  <c r="AN11" i="1" s="1"/>
  <c r="AO11" i="1" s="1"/>
  <c r="AQ11" i="1" s="1"/>
  <c r="AR11" i="1" s="1"/>
  <c r="AT11" i="1" s="1"/>
  <c r="T11" i="1"/>
  <c r="P11" i="1"/>
  <c r="S11" i="1" s="1"/>
  <c r="AS10" i="1"/>
  <c r="AG10" i="1"/>
  <c r="T10" i="1"/>
  <c r="V10" i="1" s="1"/>
  <c r="W10" i="1" s="1"/>
  <c r="Y10" i="1" s="1"/>
  <c r="Z10" i="1" s="1"/>
  <c r="AB10" i="1" s="1"/>
  <c r="P10" i="1"/>
  <c r="P8" i="1" s="1"/>
  <c r="O10" i="1"/>
  <c r="N10" i="1"/>
  <c r="N8" i="1" s="1"/>
  <c r="M10" i="1"/>
  <c r="L10" i="1"/>
  <c r="K10" i="1"/>
  <c r="J10" i="1"/>
  <c r="J8" i="1" s="1"/>
  <c r="AV9" i="1"/>
  <c r="AS9" i="1"/>
  <c r="AS8" i="1" s="1"/>
  <c r="AP9" i="1"/>
  <c r="AM9" i="1"/>
  <c r="AJ9" i="1"/>
  <c r="AG9" i="1"/>
  <c r="AG8" i="1" s="1"/>
  <c r="AD9" i="1"/>
  <c r="AD8" i="1" s="1"/>
  <c r="AA9" i="1"/>
  <c r="T9" i="1"/>
  <c r="V9" i="1" s="1"/>
  <c r="W9" i="1" s="1"/>
  <c r="Y9" i="1" s="1"/>
  <c r="Z9" i="1" s="1"/>
  <c r="AB9" i="1" s="1"/>
  <c r="AC9" i="1" s="1"/>
  <c r="AE9" i="1" s="1"/>
  <c r="AF9" i="1" s="1"/>
  <c r="AH9" i="1" s="1"/>
  <c r="AI9" i="1" s="1"/>
  <c r="AK9" i="1" s="1"/>
  <c r="AL9" i="1" s="1"/>
  <c r="AN9" i="1" s="1"/>
  <c r="AO9" i="1" s="1"/>
  <c r="AQ9" i="1" s="1"/>
  <c r="AR9" i="1" s="1"/>
  <c r="AT9" i="1" s="1"/>
  <c r="AU9" i="1" s="1"/>
  <c r="AW9" i="1" s="1"/>
  <c r="AX9" i="1" s="1"/>
  <c r="AZ9" i="1" s="1"/>
  <c r="BA9" i="1" s="1"/>
  <c r="BC9" i="1" s="1"/>
  <c r="R9" i="1"/>
  <c r="Q9" i="1"/>
  <c r="P9" i="1"/>
  <c r="O9" i="1"/>
  <c r="O8" i="1" s="1"/>
  <c r="N9" i="1"/>
  <c r="M9" i="1"/>
  <c r="L9" i="1"/>
  <c r="K9" i="1"/>
  <c r="J9" i="1"/>
  <c r="I9" i="1"/>
  <c r="BB8" i="1"/>
  <c r="AY8" i="1"/>
  <c r="AV8" i="1"/>
  <c r="AM8" i="1"/>
  <c r="AA8" i="1"/>
  <c r="X8" i="1"/>
  <c r="U8" i="1"/>
  <c r="R8" i="1"/>
  <c r="Q8" i="1"/>
  <c r="M8" i="1"/>
  <c r="I8" i="1"/>
  <c r="H8" i="1"/>
  <c r="G8" i="1"/>
  <c r="T8" i="1" s="1"/>
  <c r="V8" i="1" s="1"/>
  <c r="W8" i="1" s="1"/>
  <c r="Y8" i="1" s="1"/>
  <c r="Z8" i="1" s="1"/>
  <c r="AB8" i="1" s="1"/>
  <c r="AC8" i="1" s="1"/>
  <c r="AE8" i="1" s="1"/>
  <c r="AP7" i="1"/>
  <c r="T7" i="1"/>
  <c r="V7" i="1" s="1"/>
  <c r="W7" i="1" s="1"/>
  <c r="Y7" i="1" s="1"/>
  <c r="Z7" i="1" s="1"/>
  <c r="AB7" i="1" s="1"/>
  <c r="Q7" i="1"/>
  <c r="P7" i="1"/>
  <c r="O7" i="1"/>
  <c r="N7" i="1"/>
  <c r="M7" i="1"/>
  <c r="L7" i="1"/>
  <c r="K7" i="1"/>
  <c r="J7" i="1"/>
  <c r="I7" i="1"/>
  <c r="AS6" i="1"/>
  <c r="AM6" i="1"/>
  <c r="Y6" i="1"/>
  <c r="Z6" i="1" s="1"/>
  <c r="AB6" i="1" s="1"/>
  <c r="AC6" i="1" s="1"/>
  <c r="AE6" i="1" s="1"/>
  <c r="AF6" i="1" s="1"/>
  <c r="AH6" i="1" s="1"/>
  <c r="AI6" i="1" s="1"/>
  <c r="AK6" i="1" s="1"/>
  <c r="T6" i="1"/>
  <c r="V6" i="1" s="1"/>
  <c r="W6" i="1" s="1"/>
  <c r="P6" i="1"/>
  <c r="N6" i="1"/>
  <c r="M6" i="1"/>
  <c r="L6" i="1"/>
  <c r="AS5" i="1"/>
  <c r="AP5" i="1"/>
  <c r="AM5" i="1"/>
  <c r="AJ5" i="1"/>
  <c r="AG5" i="1"/>
  <c r="T5" i="1"/>
  <c r="V5" i="1" s="1"/>
  <c r="W5" i="1" s="1"/>
  <c r="Y5" i="1" s="1"/>
  <c r="Z5" i="1" s="1"/>
  <c r="AB5" i="1" s="1"/>
  <c r="J5" i="1"/>
  <c r="S5" i="1" s="1"/>
  <c r="Y15" i="2" l="1"/>
  <c r="Z15" i="2" s="1"/>
  <c r="AB15" i="2" s="1"/>
  <c r="AC15" i="2" s="1"/>
  <c r="AE15" i="2" s="1"/>
  <c r="AF15" i="2" s="1"/>
  <c r="AH15" i="2" s="1"/>
  <c r="AI15" i="2" s="1"/>
  <c r="AK15" i="2" s="1"/>
  <c r="AL15" i="2" s="1"/>
  <c r="AN15" i="2" s="1"/>
  <c r="AL6" i="1"/>
  <c r="AN6" i="1" s="1"/>
  <c r="AO6" i="1" s="1"/>
  <c r="AQ6" i="1" s="1"/>
  <c r="AR6" i="1" s="1"/>
  <c r="AT6" i="1" s="1"/>
  <c r="AU6" i="1" s="1"/>
  <c r="AW6" i="1" s="1"/>
  <c r="AX6" i="1" s="1"/>
  <c r="AZ6" i="1" s="1"/>
  <c r="BA6" i="1" s="1"/>
  <c r="BC6" i="1" s="1"/>
  <c r="AC7" i="1"/>
  <c r="AE7" i="1" s="1"/>
  <c r="AF7" i="1" s="1"/>
  <c r="AH7" i="1" s="1"/>
  <c r="AI7" i="1" s="1"/>
  <c r="AK7" i="1" s="1"/>
  <c r="AL7" i="1" s="1"/>
  <c r="AN7" i="1" s="1"/>
  <c r="AO7" i="1" s="1"/>
  <c r="AQ7" i="1" s="1"/>
  <c r="AR7" i="1" s="1"/>
  <c r="AT7" i="1" s="1"/>
  <c r="AU7" i="1" s="1"/>
  <c r="AW7" i="1" s="1"/>
  <c r="AX7" i="1" s="1"/>
  <c r="AZ7" i="1" s="1"/>
  <c r="BA7" i="1" s="1"/>
  <c r="BC7" i="1" s="1"/>
  <c r="S9" i="1"/>
  <c r="BD9" i="1" s="1"/>
  <c r="AU11" i="1"/>
  <c r="AW11" i="1" s="1"/>
  <c r="AX11" i="1" s="1"/>
  <c r="AZ11" i="1" s="1"/>
  <c r="BA11" i="1" s="1"/>
  <c r="BC11" i="1" s="1"/>
  <c r="BD12" i="1"/>
  <c r="AF12" i="1"/>
  <c r="AH12" i="1" s="1"/>
  <c r="AI12" i="1" s="1"/>
  <c r="AK12" i="1" s="1"/>
  <c r="AL12" i="1" s="1"/>
  <c r="AN12" i="1" s="1"/>
  <c r="AO12" i="1" s="1"/>
  <c r="AQ12" i="1" s="1"/>
  <c r="AR12" i="1" s="1"/>
  <c r="AT12" i="1" s="1"/>
  <c r="AU12" i="1" s="1"/>
  <c r="AW12" i="1" s="1"/>
  <c r="AX12" i="1" s="1"/>
  <c r="AZ12" i="1" s="1"/>
  <c r="BA12" i="1" s="1"/>
  <c r="BC12" i="1" s="1"/>
  <c r="BD13" i="1"/>
  <c r="AF18" i="1"/>
  <c r="AH18" i="1" s="1"/>
  <c r="AI18" i="1" s="1"/>
  <c r="AK18" i="1" s="1"/>
  <c r="AL18" i="1" s="1"/>
  <c r="AN18" i="1" s="1"/>
  <c r="AO18" i="1" s="1"/>
  <c r="AQ18" i="1" s="1"/>
  <c r="AR18" i="1" s="1"/>
  <c r="AT18" i="1" s="1"/>
  <c r="AU18" i="1" s="1"/>
  <c r="AW18" i="1" s="1"/>
  <c r="AX18" i="1" s="1"/>
  <c r="AZ18" i="1" s="1"/>
  <c r="BA18" i="1" s="1"/>
  <c r="BC18" i="1" s="1"/>
  <c r="BD19" i="1"/>
  <c r="Z19" i="1"/>
  <c r="AB19" i="1" s="1"/>
  <c r="AC19" i="1" s="1"/>
  <c r="AE19" i="1" s="1"/>
  <c r="AF19" i="1" s="1"/>
  <c r="AH19" i="1" s="1"/>
  <c r="AI19" i="1" s="1"/>
  <c r="AK19" i="1" s="1"/>
  <c r="AL19" i="1" s="1"/>
  <c r="AN19" i="1" s="1"/>
  <c r="AO19" i="1" s="1"/>
  <c r="AQ19" i="1" s="1"/>
  <c r="AR19" i="1" s="1"/>
  <c r="AT19" i="1" s="1"/>
  <c r="AU19" i="1" s="1"/>
  <c r="AW19" i="1" s="1"/>
  <c r="AX19" i="1" s="1"/>
  <c r="AZ19" i="1" s="1"/>
  <c r="BA19" i="1" s="1"/>
  <c r="BC19" i="1" s="1"/>
  <c r="AC5" i="2"/>
  <c r="AE5" i="2" s="1"/>
  <c r="AF5" i="2" s="1"/>
  <c r="AH5" i="2" s="1"/>
  <c r="AI5" i="2" s="1"/>
  <c r="AK5" i="2" s="1"/>
  <c r="AL5" i="2" s="1"/>
  <c r="AN5" i="2" s="1"/>
  <c r="AO5" i="2" s="1"/>
  <c r="AQ5" i="2" s="1"/>
  <c r="AR5" i="2" s="1"/>
  <c r="AT5" i="2" s="1"/>
  <c r="AU5" i="2" s="1"/>
  <c r="AW5" i="2" s="1"/>
  <c r="AX5" i="2" s="1"/>
  <c r="AZ5" i="2" s="1"/>
  <c r="BA5" i="2" s="1"/>
  <c r="BC5" i="2" s="1"/>
  <c r="AI6" i="2"/>
  <c r="AK6" i="2" s="1"/>
  <c r="AL6" i="2" s="1"/>
  <c r="AN6" i="2" s="1"/>
  <c r="AO6" i="2" s="1"/>
  <c r="AQ6" i="2" s="1"/>
  <c r="AR6" i="2" s="1"/>
  <c r="AT6" i="2" s="1"/>
  <c r="AU6" i="2" s="1"/>
  <c r="AW6" i="2" s="1"/>
  <c r="AX6" i="2" s="1"/>
  <c r="AZ6" i="2" s="1"/>
  <c r="BA6" i="2" s="1"/>
  <c r="BC6" i="2" s="1"/>
  <c r="AC5" i="1"/>
  <c r="AE5" i="1" s="1"/>
  <c r="AF5" i="1" s="1"/>
  <c r="AH5" i="1" s="1"/>
  <c r="AI5" i="1" s="1"/>
  <c r="AK5" i="1" s="1"/>
  <c r="AL5" i="1" s="1"/>
  <c r="AN5" i="1" s="1"/>
  <c r="AO5" i="1" s="1"/>
  <c r="AQ5" i="1" s="1"/>
  <c r="AR5" i="1" s="1"/>
  <c r="AT5" i="1" s="1"/>
  <c r="AU5" i="1" s="1"/>
  <c r="AW5" i="1" s="1"/>
  <c r="AX5" i="1" s="1"/>
  <c r="AZ5" i="1" s="1"/>
  <c r="BA5" i="1" s="1"/>
  <c r="BC5" i="1" s="1"/>
  <c r="S6" i="1"/>
  <c r="S7" i="1"/>
  <c r="K8" i="1"/>
  <c r="AF8" i="1" s="1"/>
  <c r="AH8" i="1" s="1"/>
  <c r="AP8" i="1"/>
  <c r="AC10" i="1"/>
  <c r="AE10" i="1" s="1"/>
  <c r="AF10" i="1" s="1"/>
  <c r="AH10" i="1" s="1"/>
  <c r="AI10" i="1" s="1"/>
  <c r="AK10" i="1" s="1"/>
  <c r="AL10" i="1" s="1"/>
  <c r="AN10" i="1" s="1"/>
  <c r="AO10" i="1" s="1"/>
  <c r="AQ10" i="1" s="1"/>
  <c r="AR10" i="1" s="1"/>
  <c r="AT10" i="1" s="1"/>
  <c r="AU10" i="1" s="1"/>
  <c r="AW10" i="1" s="1"/>
  <c r="AX10" i="1" s="1"/>
  <c r="AZ10" i="1" s="1"/>
  <c r="BA10" i="1" s="1"/>
  <c r="BC10" i="1" s="1"/>
  <c r="AC13" i="1"/>
  <c r="AE13" i="1" s="1"/>
  <c r="AF13" i="1" s="1"/>
  <c r="AH13" i="1" s="1"/>
  <c r="AI13" i="1" s="1"/>
  <c r="AK13" i="1" s="1"/>
  <c r="AL13" i="1" s="1"/>
  <c r="AN13" i="1" s="1"/>
  <c r="AO13" i="1" s="1"/>
  <c r="AQ13" i="1" s="1"/>
  <c r="AR13" i="1" s="1"/>
  <c r="AT13" i="1" s="1"/>
  <c r="AU13" i="1" s="1"/>
  <c r="AW13" i="1" s="1"/>
  <c r="AX13" i="1" s="1"/>
  <c r="AZ13" i="1" s="1"/>
  <c r="BA13" i="1" s="1"/>
  <c r="BC13" i="1" s="1"/>
  <c r="AC14" i="1"/>
  <c r="AE14" i="1" s="1"/>
  <c r="AF14" i="1" s="1"/>
  <c r="AH14" i="1" s="1"/>
  <c r="AI14" i="1" s="1"/>
  <c r="AK14" i="1" s="1"/>
  <c r="AL14" i="1" s="1"/>
  <c r="AN14" i="1" s="1"/>
  <c r="AO14" i="1" s="1"/>
  <c r="AQ14" i="1" s="1"/>
  <c r="AR14" i="1" s="1"/>
  <c r="AT14" i="1" s="1"/>
  <c r="AU14" i="1" s="1"/>
  <c r="AW14" i="1" s="1"/>
  <c r="AX14" i="1" s="1"/>
  <c r="AZ14" i="1" s="1"/>
  <c r="BA14" i="1" s="1"/>
  <c r="BC14" i="1" s="1"/>
  <c r="H15" i="1"/>
  <c r="S18" i="1"/>
  <c r="BD18" i="1" s="1"/>
  <c r="S20" i="1"/>
  <c r="AI21" i="1"/>
  <c r="AK21" i="1" s="1"/>
  <c r="AL21" i="1" s="1"/>
  <c r="AN21" i="1" s="1"/>
  <c r="AO21" i="1" s="1"/>
  <c r="AQ21" i="1" s="1"/>
  <c r="AR21" i="1" s="1"/>
  <c r="AT21" i="1" s="1"/>
  <c r="AU21" i="1" s="1"/>
  <c r="AW21" i="1" s="1"/>
  <c r="AX21" i="1" s="1"/>
  <c r="AZ21" i="1" s="1"/>
  <c r="BA21" i="1" s="1"/>
  <c r="BC21" i="1" s="1"/>
  <c r="BD21" i="1" s="1"/>
  <c r="S22" i="1"/>
  <c r="S24" i="1"/>
  <c r="BD24" i="1" s="1"/>
  <c r="S5" i="2"/>
  <c r="S7" i="2"/>
  <c r="BD7" i="2" s="1"/>
  <c r="AI7" i="2"/>
  <c r="AK7" i="2" s="1"/>
  <c r="AL7" i="2" s="1"/>
  <c r="AN7" i="2" s="1"/>
  <c r="AO7" i="2" s="1"/>
  <c r="AQ7" i="2" s="1"/>
  <c r="AR7" i="2" s="1"/>
  <c r="AT7" i="2" s="1"/>
  <c r="AU7" i="2" s="1"/>
  <c r="AW7" i="2" s="1"/>
  <c r="AX7" i="2" s="1"/>
  <c r="AZ7" i="2" s="1"/>
  <c r="BA7" i="2" s="1"/>
  <c r="BC7" i="2" s="1"/>
  <c r="M9" i="2"/>
  <c r="L9" i="2"/>
  <c r="N15" i="2"/>
  <c r="S19" i="2"/>
  <c r="BD19" i="2" s="1"/>
  <c r="S20" i="2"/>
  <c r="BD20" i="2" s="1"/>
  <c r="AF24" i="2"/>
  <c r="AH24" i="2" s="1"/>
  <c r="AI24" i="2" s="1"/>
  <c r="AK24" i="2" s="1"/>
  <c r="AL24" i="2" s="1"/>
  <c r="AN24" i="2" s="1"/>
  <c r="AO24" i="2" s="1"/>
  <c r="AQ24" i="2" s="1"/>
  <c r="AR24" i="2" s="1"/>
  <c r="AT24" i="2" s="1"/>
  <c r="AU24" i="2" s="1"/>
  <c r="AW24" i="2" s="1"/>
  <c r="AX24" i="2" s="1"/>
  <c r="AZ24" i="2" s="1"/>
  <c r="BA24" i="2" s="1"/>
  <c r="BC24" i="2" s="1"/>
  <c r="BD6" i="2"/>
  <c r="BD5" i="2"/>
  <c r="BD11" i="2"/>
  <c r="BD12" i="2"/>
  <c r="S10" i="2"/>
  <c r="BD10" i="2" s="1"/>
  <c r="W17" i="2"/>
  <c r="Y17" i="2" s="1"/>
  <c r="Z17" i="2" s="1"/>
  <c r="AB17" i="2" s="1"/>
  <c r="AC17" i="2" s="1"/>
  <c r="AE17" i="2" s="1"/>
  <c r="AF17" i="2" s="1"/>
  <c r="AH17" i="2" s="1"/>
  <c r="AI17" i="2" s="1"/>
  <c r="AK17" i="2" s="1"/>
  <c r="AL17" i="2" s="1"/>
  <c r="AN17" i="2" s="1"/>
  <c r="AO17" i="2" s="1"/>
  <c r="AQ17" i="2" s="1"/>
  <c r="AR17" i="2" s="1"/>
  <c r="AT17" i="2" s="1"/>
  <c r="AU17" i="2" s="1"/>
  <c r="AW17" i="2" s="1"/>
  <c r="AX17" i="2" s="1"/>
  <c r="AZ17" i="2" s="1"/>
  <c r="BA17" i="2" s="1"/>
  <c r="BC17" i="2" s="1"/>
  <c r="BD22" i="2"/>
  <c r="BD24" i="2"/>
  <c r="G9" i="2"/>
  <c r="K9" i="2"/>
  <c r="W25" i="2"/>
  <c r="Y25" i="2" s="1"/>
  <c r="Z25" i="2" s="1"/>
  <c r="AB25" i="2" s="1"/>
  <c r="AC25" i="2" s="1"/>
  <c r="AE25" i="2" s="1"/>
  <c r="AF25" i="2" s="1"/>
  <c r="AH25" i="2" s="1"/>
  <c r="AI25" i="2" s="1"/>
  <c r="AK25" i="2" s="1"/>
  <c r="AL25" i="2" s="1"/>
  <c r="AN25" i="2" s="1"/>
  <c r="AO25" i="2" s="1"/>
  <c r="AQ25" i="2" s="1"/>
  <c r="AR25" i="2" s="1"/>
  <c r="AT25" i="2" s="1"/>
  <c r="AU25" i="2" s="1"/>
  <c r="AW25" i="2" s="1"/>
  <c r="AX25" i="2" s="1"/>
  <c r="AZ25" i="2" s="1"/>
  <c r="BA25" i="2" s="1"/>
  <c r="BC25" i="2" s="1"/>
  <c r="S13" i="2"/>
  <c r="BD13" i="2" s="1"/>
  <c r="BD14" i="2"/>
  <c r="BD18" i="2"/>
  <c r="BD21" i="2"/>
  <c r="T16" i="2"/>
  <c r="V16" i="2" s="1"/>
  <c r="W16" i="2" s="1"/>
  <c r="Y16" i="2" s="1"/>
  <c r="Z16" i="2" s="1"/>
  <c r="AB16" i="2" s="1"/>
  <c r="AC16" i="2" s="1"/>
  <c r="AE16" i="2" s="1"/>
  <c r="AF16" i="2" s="1"/>
  <c r="AH16" i="2" s="1"/>
  <c r="AI16" i="2" s="1"/>
  <c r="AK16" i="2" s="1"/>
  <c r="AL16" i="2" s="1"/>
  <c r="AN16" i="2" s="1"/>
  <c r="AO16" i="2" s="1"/>
  <c r="AQ16" i="2" s="1"/>
  <c r="AR16" i="2" s="1"/>
  <c r="AT16" i="2" s="1"/>
  <c r="AU16" i="2" s="1"/>
  <c r="AW16" i="2" s="1"/>
  <c r="AX16" i="2" s="1"/>
  <c r="AZ16" i="2" s="1"/>
  <c r="BA16" i="2" s="1"/>
  <c r="BC16" i="2" s="1"/>
  <c r="BD16" i="2" s="1"/>
  <c r="S15" i="2"/>
  <c r="S17" i="2"/>
  <c r="W23" i="2"/>
  <c r="Y23" i="2" s="1"/>
  <c r="Z23" i="2" s="1"/>
  <c r="AB23" i="2" s="1"/>
  <c r="AC23" i="2" s="1"/>
  <c r="AE23" i="2" s="1"/>
  <c r="AF23" i="2" s="1"/>
  <c r="AH23" i="2" s="1"/>
  <c r="AI23" i="2" s="1"/>
  <c r="AK23" i="2" s="1"/>
  <c r="AL23" i="2" s="1"/>
  <c r="AN23" i="2" s="1"/>
  <c r="AO23" i="2" s="1"/>
  <c r="AQ23" i="2" s="1"/>
  <c r="AR23" i="2" s="1"/>
  <c r="AT23" i="2" s="1"/>
  <c r="AU23" i="2" s="1"/>
  <c r="AW23" i="2" s="1"/>
  <c r="AX23" i="2" s="1"/>
  <c r="AZ23" i="2" s="1"/>
  <c r="BA23" i="2" s="1"/>
  <c r="BC23" i="2" s="1"/>
  <c r="BD23" i="2" s="1"/>
  <c r="S25" i="2"/>
  <c r="BD6" i="1"/>
  <c r="BD7" i="1"/>
  <c r="S10" i="1"/>
  <c r="L8" i="1"/>
  <c r="BD5" i="1"/>
  <c r="BD11" i="1"/>
  <c r="W15" i="1"/>
  <c r="Y15" i="1" s="1"/>
  <c r="Z15" i="1" s="1"/>
  <c r="AB15" i="1" s="1"/>
  <c r="AC15" i="1" s="1"/>
  <c r="AE15" i="1" s="1"/>
  <c r="AF15" i="1" s="1"/>
  <c r="AH15" i="1" s="1"/>
  <c r="AI15" i="1" s="1"/>
  <c r="AK15" i="1" s="1"/>
  <c r="AL15" i="1" s="1"/>
  <c r="AN15" i="1" s="1"/>
  <c r="AO15" i="1" s="1"/>
  <c r="AQ15" i="1" s="1"/>
  <c r="AR15" i="1" s="1"/>
  <c r="AT15" i="1" s="1"/>
  <c r="AU15" i="1" s="1"/>
  <c r="AW15" i="1" s="1"/>
  <c r="AX15" i="1" s="1"/>
  <c r="AZ15" i="1" s="1"/>
  <c r="BA15" i="1" s="1"/>
  <c r="BC15" i="1" s="1"/>
  <c r="W16" i="1"/>
  <c r="Y16" i="1" s="1"/>
  <c r="Z16" i="1" s="1"/>
  <c r="AB16" i="1" s="1"/>
  <c r="AC16" i="1" s="1"/>
  <c r="AE16" i="1" s="1"/>
  <c r="AF16" i="1" s="1"/>
  <c r="AH16" i="1" s="1"/>
  <c r="AI16" i="1" s="1"/>
  <c r="AK16" i="1" s="1"/>
  <c r="AL16" i="1" s="1"/>
  <c r="AN16" i="1" s="1"/>
  <c r="AO16" i="1" s="1"/>
  <c r="AQ16" i="1" s="1"/>
  <c r="AR16" i="1" s="1"/>
  <c r="AT16" i="1" s="1"/>
  <c r="AU16" i="1" s="1"/>
  <c r="AW16" i="1" s="1"/>
  <c r="AX16" i="1" s="1"/>
  <c r="AZ16" i="1" s="1"/>
  <c r="BA16" i="1" s="1"/>
  <c r="BC16" i="1" s="1"/>
  <c r="BD23" i="1"/>
  <c r="BD20" i="1"/>
  <c r="S16" i="1"/>
  <c r="W22" i="1"/>
  <c r="Y22" i="1" s="1"/>
  <c r="Z22" i="1" s="1"/>
  <c r="AB22" i="1" s="1"/>
  <c r="AC22" i="1" s="1"/>
  <c r="AE22" i="1" s="1"/>
  <c r="AF22" i="1" s="1"/>
  <c r="AH22" i="1" s="1"/>
  <c r="AI22" i="1" s="1"/>
  <c r="AK22" i="1" s="1"/>
  <c r="AL22" i="1" s="1"/>
  <c r="AN22" i="1" s="1"/>
  <c r="AO22" i="1" s="1"/>
  <c r="AQ22" i="1" s="1"/>
  <c r="AR22" i="1" s="1"/>
  <c r="AT22" i="1" s="1"/>
  <c r="AU22" i="1" s="1"/>
  <c r="AW22" i="1" s="1"/>
  <c r="AX22" i="1" s="1"/>
  <c r="AZ22" i="1" s="1"/>
  <c r="BA22" i="1" s="1"/>
  <c r="BC22" i="1" s="1"/>
  <c r="BD22" i="1" s="1"/>
  <c r="S25" i="1"/>
  <c r="BD25" i="1" s="1"/>
  <c r="S15" i="1"/>
  <c r="W17" i="1"/>
  <c r="Y17" i="1" s="1"/>
  <c r="Z17" i="1" s="1"/>
  <c r="AB17" i="1" s="1"/>
  <c r="AC17" i="1" s="1"/>
  <c r="AE17" i="1" s="1"/>
  <c r="AF17" i="1" s="1"/>
  <c r="AH17" i="1" s="1"/>
  <c r="AI17" i="1" s="1"/>
  <c r="AK17" i="1" s="1"/>
  <c r="AL17" i="1" s="1"/>
  <c r="AN17" i="1" s="1"/>
  <c r="AO17" i="1" s="1"/>
  <c r="AQ17" i="1" s="1"/>
  <c r="AR17" i="1" s="1"/>
  <c r="AT17" i="1" s="1"/>
  <c r="AU17" i="1" s="1"/>
  <c r="AW17" i="1" s="1"/>
  <c r="AX17" i="1" s="1"/>
  <c r="AZ17" i="1" s="1"/>
  <c r="BA17" i="1" s="1"/>
  <c r="BC17" i="1" s="1"/>
  <c r="BD17" i="1" s="1"/>
  <c r="BD8" i="1" l="1"/>
  <c r="AI8" i="1"/>
  <c r="AK8" i="1" s="1"/>
  <c r="AL8" i="1" s="1"/>
  <c r="AN8" i="1" s="1"/>
  <c r="AO8" i="1" s="1"/>
  <c r="AQ8" i="1" s="1"/>
  <c r="AR8" i="1" s="1"/>
  <c r="AT8" i="1" s="1"/>
  <c r="AU8" i="1" s="1"/>
  <c r="AW8" i="1" s="1"/>
  <c r="AX8" i="1" s="1"/>
  <c r="AZ8" i="1" s="1"/>
  <c r="BA8" i="1" s="1"/>
  <c r="BC8" i="1" s="1"/>
  <c r="AO15" i="2"/>
  <c r="AQ15" i="2" s="1"/>
  <c r="AR15" i="2" s="1"/>
  <c r="AT15" i="2" s="1"/>
  <c r="AU15" i="2" s="1"/>
  <c r="AW15" i="2" s="1"/>
  <c r="AX15" i="2" s="1"/>
  <c r="AZ15" i="2" s="1"/>
  <c r="BA15" i="2" s="1"/>
  <c r="BC15" i="2" s="1"/>
  <c r="BD10" i="1"/>
  <c r="BD25" i="2"/>
  <c r="T9" i="2"/>
  <c r="V9" i="2" s="1"/>
  <c r="W9" i="2" s="1"/>
  <c r="Y9" i="2" s="1"/>
  <c r="Z9" i="2" s="1"/>
  <c r="AB9" i="2" s="1"/>
  <c r="AC9" i="2" s="1"/>
  <c r="AE9" i="2" s="1"/>
  <c r="AF9" i="2" s="1"/>
  <c r="AH9" i="2" s="1"/>
  <c r="AI9" i="2" s="1"/>
  <c r="AK9" i="2" s="1"/>
  <c r="AL9" i="2" s="1"/>
  <c r="AN9" i="2" s="1"/>
  <c r="AO9" i="2" s="1"/>
  <c r="AQ9" i="2" s="1"/>
  <c r="AR9" i="2" s="1"/>
  <c r="AT9" i="2" s="1"/>
  <c r="AU9" i="2" s="1"/>
  <c r="AW9" i="2" s="1"/>
  <c r="AX9" i="2" s="1"/>
  <c r="AZ9" i="2" s="1"/>
  <c r="BA9" i="2" s="1"/>
  <c r="BC9" i="2" s="1"/>
  <c r="S9" i="2"/>
  <c r="BD9" i="2"/>
  <c r="BD17" i="2"/>
  <c r="BD15" i="2" s="1"/>
  <c r="S8" i="1"/>
  <c r="BD16" i="1"/>
  <c r="BD15" i="1" s="1"/>
</calcChain>
</file>

<file path=xl/sharedStrings.xml><?xml version="1.0" encoding="utf-8"?>
<sst xmlns="http://schemas.openxmlformats.org/spreadsheetml/2006/main" count="174" uniqueCount="61">
  <si>
    <t>КПКВК</t>
  </si>
  <si>
    <t xml:space="preserve"> КЕКВ</t>
  </si>
  <si>
    <t>Найменування робіт</t>
  </si>
  <si>
    <t>Кошторисні призначення</t>
  </si>
  <si>
    <t>Разом</t>
  </si>
  <si>
    <t>фактично витрачено суми коштів</t>
  </si>
  <si>
    <t>січень</t>
  </si>
  <si>
    <t>лютий</t>
  </si>
  <si>
    <t>березень</t>
  </si>
  <si>
    <t>квітень</t>
  </si>
  <si>
    <t>травень</t>
  </si>
  <si>
    <t xml:space="preserve">червень </t>
  </si>
  <si>
    <t>липень</t>
  </si>
  <si>
    <t>серпень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</si>
  <si>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</si>
  <si>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</si>
  <si>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</si>
  <si>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</si>
  <si>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</si>
  <si>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</si>
  <si>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</si>
  <si>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</si>
  <si>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</si>
  <si>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</si>
  <si>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</si>
  <si>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</si>
  <si>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</si>
  <si>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</si>
  <si>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</si>
  <si>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</si>
  <si>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 xml:space="preserve">асигнування </t>
  </si>
  <si>
    <t>фінансування</t>
  </si>
  <si>
    <t>залишок</t>
  </si>
  <si>
    <t>Вивезення стихійних сміттєзвалищ</t>
  </si>
  <si>
    <t>Утримання квітників, клумб, газонів, скверів</t>
  </si>
  <si>
    <t>Знесення аварійних дерев та обпиловка гілок дерев</t>
  </si>
  <si>
    <t>Утримання Міського парку культури та відпочинку ім. Т.Г.Шевченка (одержувач коштів - КП «Ільїнський ярмарок» РМР) (Програма утримання та розвитку Міського парку культури та відпочинку ім. Т.Г. Шевченка на 2024-2026 роки):</t>
  </si>
  <si>
    <t xml:space="preserve">Прибирання території  в Міському парку культури і відпочинку ім. Т.Г. Шевченка </t>
  </si>
  <si>
    <t xml:space="preserve">Покіс трави в Міському парку культури і відпочинку ім. Т.Г. Шевченка </t>
  </si>
  <si>
    <t xml:space="preserve">Знесення та підрізка аварійних дерев в Міському парку культури і відпочинку ім. Т.Г. Шевченка </t>
  </si>
  <si>
    <t xml:space="preserve">Утримання клумб та оббивка бордюрів  в Міському парку культури і відпочинку ім. Т.Г. Шевченка </t>
  </si>
  <si>
    <t>Вивезення листя та гілля</t>
  </si>
  <si>
    <t>Поточний ремонт дитячих майданчиків на території Міського парку культури та відпочинку ім. Т.Г.Шевченка</t>
  </si>
  <si>
    <t>Благоустрій населених пунктів Роменської міської територіальної громади (одержувач коштів - КП «Комбінат комунальних підприємств» РМР) (Програма благоустрою населених пунктів Роменської міської територіальної громади на 2024-2026 роки):</t>
  </si>
  <si>
    <t xml:space="preserve">Послуги з прибирання вуличних територій, парків, скверів, кладовищ, місць відпочинку, пам’ятників тощо та послуги з прибирання снігу </t>
  </si>
  <si>
    <t xml:space="preserve">Вивезення стихійних сміттєзвалищ                                                   </t>
  </si>
  <si>
    <t xml:space="preserve">Покіс трави                                                                                          </t>
  </si>
  <si>
    <t>Видалення порослі дерев вручну</t>
  </si>
  <si>
    <t xml:space="preserve">Утримання клумб, квітників, газонів, скверів </t>
  </si>
  <si>
    <t>Поточний ремонт (профілювання) ґрунтових доріг</t>
  </si>
  <si>
    <t xml:space="preserve">Поточний ремонт доріг з підсипкою (ліквідація розмивів, вимоїн, деформації і руйнувань земляного полотна) </t>
  </si>
  <si>
    <t>Поточний ремонт об’єктів благоустрою</t>
  </si>
  <si>
    <t>Автопослуги</t>
  </si>
  <si>
    <t>Покіс трави</t>
  </si>
  <si>
    <t>Прибирання території парку</t>
  </si>
  <si>
    <t>Знесення та підрізка аварійних дерев</t>
  </si>
  <si>
    <t>Утримання клумб та оббивка бордюр</t>
  </si>
  <si>
    <t xml:space="preserve">Вивезення листя </t>
  </si>
  <si>
    <t xml:space="preserve">Послуги з прибирання вулиць та послуги з прибирання снігу        </t>
  </si>
  <si>
    <t>Утримання клумб, квітників, газонів, скверів</t>
  </si>
  <si>
    <t>Поточний ремонт доріг з підсипкою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</si>
</sst>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rgb="FFC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2" borderId="0" xfId="0" applyFont="1" applyFill="1" applyAlignment="1">
      <alignment wrapText="1"/>
    </xf>
    <xf numFmtId="4" fontId="1" fillId="2" borderId="0" xfId="0" applyNumberFormat="1" applyFont="1" applyFill="1" applyBorder="1" applyAlignment="1">
      <alignment horizontal="center" wrapText="1"/>
    </xf>
    <xf numFmtId="4" fontId="1" fillId="2" borderId="0" xfId="0" applyNumberFormat="1" applyFont="1" applyFill="1" applyAlignment="1">
      <alignment wrapText="1"/>
    </xf>
    <xf numFmtId="4" fontId="1" fillId="2" borderId="0" xfId="0" applyNumberFormat="1" applyFont="1" applyFill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wrapText="1"/>
    </xf>
    <xf numFmtId="4" fontId="2" fillId="7" borderId="2" xfId="0" applyNumberFormat="1" applyFont="1" applyFill="1" applyBorder="1" applyAlignment="1">
      <alignment horizontal="center" wrapText="1"/>
    </xf>
    <xf numFmtId="4" fontId="2" fillId="8" borderId="2" xfId="0" applyNumberFormat="1" applyFont="1" applyFill="1" applyBorder="1" applyAlignment="1">
      <alignment horizontal="center" wrapText="1"/>
    </xf>
    <xf numFmtId="4" fontId="2" fillId="3" borderId="2" xfId="0" applyNumberFormat="1" applyFont="1" applyFill="1" applyBorder="1" applyAlignment="1">
      <alignment horizontal="center" wrapText="1"/>
    </xf>
    <xf numFmtId="4" fontId="2" fillId="3" borderId="3" xfId="0" applyNumberFormat="1" applyFont="1" applyFill="1" applyBorder="1" applyAlignment="1">
      <alignment horizontal="center" wrapText="1"/>
    </xf>
    <xf numFmtId="1" fontId="1" fillId="2" borderId="14" xfId="0" applyNumberFormat="1" applyFont="1" applyFill="1" applyBorder="1" applyAlignment="1">
      <alignment wrapText="1"/>
    </xf>
    <xf numFmtId="1" fontId="1" fillId="2" borderId="1" xfId="0" applyNumberFormat="1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1" fillId="9" borderId="1" xfId="0" applyNumberFormat="1" applyFont="1" applyFill="1" applyBorder="1" applyAlignment="1">
      <alignment horizontal="center" vertical="center" wrapText="1"/>
    </xf>
    <xf numFmtId="4" fontId="1" fillId="10" borderId="1" xfId="0" applyNumberFormat="1" applyFont="1" applyFill="1" applyBorder="1" applyAlignment="1">
      <alignment horizontal="center" wrapText="1"/>
    </xf>
    <xf numFmtId="4" fontId="1" fillId="8" borderId="1" xfId="0" applyNumberFormat="1" applyFont="1" applyFill="1" applyBorder="1" applyAlignment="1">
      <alignment horizontal="center" wrapText="1"/>
    </xf>
    <xf numFmtId="4" fontId="1" fillId="11" borderId="1" xfId="0" applyNumberFormat="1" applyFont="1" applyFill="1" applyBorder="1" applyAlignment="1">
      <alignment horizontal="center" wrapText="1"/>
    </xf>
    <xf numFmtId="4" fontId="1" fillId="10" borderId="1" xfId="0" applyNumberFormat="1" applyFont="1" applyFill="1" applyBorder="1" applyAlignment="1">
      <alignment wrapText="1"/>
    </xf>
    <xf numFmtId="4" fontId="1" fillId="11" borderId="1" xfId="0" applyNumberFormat="1" applyFont="1" applyFill="1" applyBorder="1" applyAlignment="1">
      <alignment wrapText="1"/>
    </xf>
    <xf numFmtId="4" fontId="1" fillId="9" borderId="1" xfId="0" applyNumberFormat="1" applyFont="1" applyFill="1" applyBorder="1" applyAlignment="1">
      <alignment horizontal="center" wrapText="1"/>
    </xf>
    <xf numFmtId="4" fontId="4" fillId="0" borderId="0" xfId="0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justify" vertical="top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wrapText="1"/>
    </xf>
    <xf numFmtId="0" fontId="5" fillId="2" borderId="0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4" fontId="4" fillId="0" borderId="1" xfId="0" applyNumberFormat="1" applyFont="1" applyFill="1" applyBorder="1" applyAlignment="1">
      <alignment horizontal="center" vertical="center"/>
    </xf>
    <xf numFmtId="4" fontId="4" fillId="9" borderId="1" xfId="0" applyNumberFormat="1" applyFont="1" applyFill="1" applyBorder="1" applyAlignment="1">
      <alignment horizontal="center" vertical="center" wrapText="1"/>
    </xf>
    <xf numFmtId="4" fontId="4" fillId="10" borderId="1" xfId="0" applyNumberFormat="1" applyFont="1" applyFill="1" applyBorder="1" applyAlignment="1">
      <alignment horizontal="center" wrapText="1"/>
    </xf>
    <xf numFmtId="4" fontId="4" fillId="8" borderId="1" xfId="0" applyNumberFormat="1" applyFont="1" applyFill="1" applyBorder="1" applyAlignment="1">
      <alignment horizontal="center" wrapText="1"/>
    </xf>
    <xf numFmtId="4" fontId="4" fillId="11" borderId="1" xfId="0" applyNumberFormat="1" applyFont="1" applyFill="1" applyBorder="1" applyAlignment="1">
      <alignment horizontal="center" wrapText="1"/>
    </xf>
    <xf numFmtId="4" fontId="4" fillId="10" borderId="1" xfId="0" applyNumberFormat="1" applyFont="1" applyFill="1" applyBorder="1" applyAlignment="1">
      <alignment wrapText="1"/>
    </xf>
    <xf numFmtId="4" fontId="4" fillId="11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4" fontId="4" fillId="2" borderId="1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1" fillId="0" borderId="6" xfId="0" applyFont="1" applyBorder="1" applyAlignment="1">
      <alignment wrapText="1"/>
    </xf>
    <xf numFmtId="4" fontId="1" fillId="0" borderId="1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4" fontId="1" fillId="2" borderId="0" xfId="0" applyNumberFormat="1" applyFont="1" applyFill="1" applyAlignment="1">
      <alignment vertical="center" wrapText="1"/>
    </xf>
    <xf numFmtId="4" fontId="2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Border="1" applyAlignment="1">
      <alignment wrapText="1"/>
    </xf>
    <xf numFmtId="4" fontId="2" fillId="6" borderId="11" xfId="0" applyNumberFormat="1" applyFont="1" applyFill="1" applyBorder="1" applyAlignment="1">
      <alignment horizontal="center" wrapText="1"/>
    </xf>
    <xf numFmtId="4" fontId="2" fillId="6" borderId="12" xfId="0" applyNumberFormat="1" applyFont="1" applyFill="1" applyBorder="1" applyAlignment="1">
      <alignment horizontal="center" wrapText="1"/>
    </xf>
    <xf numFmtId="4" fontId="2" fillId="6" borderId="6" xfId="0" applyNumberFormat="1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4" fontId="2" fillId="6" borderId="2" xfId="0" applyNumberFormat="1" applyFont="1" applyFill="1" applyBorder="1" applyAlignment="1">
      <alignment horizontal="center" vertical="center" wrapText="1"/>
    </xf>
    <xf numFmtId="4" fontId="2" fillId="6" borderId="13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4" fontId="2" fillId="5" borderId="3" xfId="0" applyNumberFormat="1" applyFont="1" applyFill="1" applyBorder="1" applyAlignment="1">
      <alignment horizontal="center" vertical="center" wrapText="1"/>
    </xf>
    <xf numFmtId="4" fontId="2" fillId="5" borderId="4" xfId="0" applyNumberFormat="1" applyFont="1" applyFill="1" applyBorder="1" applyAlignment="1">
      <alignment horizontal="center" vertical="center" wrapText="1"/>
    </xf>
    <xf numFmtId="4" fontId="2" fillId="5" borderId="5" xfId="0" applyNumberFormat="1" applyFont="1" applyFill="1" applyBorder="1" applyAlignment="1">
      <alignment horizontal="center" vertical="center" wrapText="1"/>
    </xf>
    <xf numFmtId="4" fontId="2" fillId="5" borderId="8" xfId="0" applyNumberFormat="1" applyFont="1" applyFill="1" applyBorder="1" applyAlignment="1">
      <alignment horizontal="center" vertical="center" wrapText="1"/>
    </xf>
    <xf numFmtId="4" fontId="2" fillId="5" borderId="9" xfId="0" applyNumberFormat="1" applyFont="1" applyFill="1" applyBorder="1" applyAlignment="1">
      <alignment horizontal="center" vertical="center" wrapText="1"/>
    </xf>
    <xf numFmtId="4" fontId="2" fillId="5" borderId="10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horizontal="center" vertical="center" wrapText="1"/>
    </xf>
    <xf numFmtId="4" fontId="1" fillId="2" borderId="6" xfId="0" applyNumberFormat="1" applyFont="1" applyFill="1" applyBorder="1" applyAlignment="1">
      <alignment horizontal="center" wrapText="1"/>
    </xf>
    <xf numFmtId="4" fontId="1" fillId="2" borderId="1" xfId="0" applyNumberFormat="1" applyFont="1" applyFill="1" applyBorder="1" applyAlignment="1">
      <alignment horizontal="center" wrapText="1"/>
    </xf>
    <xf numFmtId="4" fontId="2" fillId="6" borderId="7" xfId="0" applyNumberFormat="1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F26"/>
  <sheetViews>
    <sheetView topLeftCell="D1" workbookViewId="0">
      <selection activeCell="BD1" sqref="BD1:BD4"/>
    </sheetView>
  </sheetViews>
  <sheetFormatPr defaultRowHeight="15.75" x14ac:dyDescent="0.25"/>
  <cols>
    <col min="1" max="3" width="9.140625" style="1" hidden="1" customWidth="1"/>
    <col min="4" max="4" width="8.85546875" style="1" customWidth="1"/>
    <col min="5" max="5" width="7.5703125" style="1" customWidth="1"/>
    <col min="6" max="6" width="55.5703125" style="1" customWidth="1"/>
    <col min="7" max="7" width="17" style="44" hidden="1" customWidth="1"/>
    <col min="8" max="9" width="15" style="44" hidden="1" customWidth="1"/>
    <col min="10" max="10" width="15.28515625" style="44" hidden="1" customWidth="1"/>
    <col min="11" max="11" width="14.7109375" style="44" hidden="1" customWidth="1"/>
    <col min="12" max="12" width="14.85546875" style="44" hidden="1" customWidth="1"/>
    <col min="13" max="13" width="15.140625" style="44" hidden="1" customWidth="1"/>
    <col min="14" max="14" width="15.5703125" style="44" hidden="1" customWidth="1"/>
    <col min="15" max="15" width="15.42578125" style="44" hidden="1" customWidth="1"/>
    <col min="16" max="16" width="15.28515625" style="44" hidden="1" customWidth="1"/>
    <col min="17" max="17" width="14.7109375" style="44" hidden="1" customWidth="1"/>
    <col min="18" max="18" width="15.5703125" style="44" hidden="1" customWidth="1"/>
    <col min="19" max="19" width="17.140625" style="45" hidden="1" customWidth="1"/>
    <col min="20" max="20" width="14.42578125" style="3" hidden="1" customWidth="1"/>
    <col min="21" max="21" width="15.42578125" style="4" hidden="1" customWidth="1"/>
    <col min="22" max="22" width="15" style="3" hidden="1" customWidth="1"/>
    <col min="23" max="23" width="14.42578125" style="3" hidden="1" customWidth="1"/>
    <col min="24" max="24" width="15.42578125" style="4" hidden="1" customWidth="1"/>
    <col min="25" max="25" width="14.28515625" style="3" hidden="1" customWidth="1"/>
    <col min="26" max="26" width="15.28515625" style="3" hidden="1" customWidth="1"/>
    <col min="27" max="27" width="15.5703125" style="4" hidden="1" customWidth="1"/>
    <col min="28" max="29" width="15.42578125" style="3" hidden="1" customWidth="1"/>
    <col min="30" max="30" width="15.5703125" style="4" hidden="1" customWidth="1"/>
    <col min="31" max="31" width="15.42578125" style="3" hidden="1" customWidth="1"/>
    <col min="32" max="32" width="15" style="3" hidden="1" customWidth="1"/>
    <col min="33" max="33" width="15.5703125" style="4" hidden="1" customWidth="1"/>
    <col min="34" max="35" width="15.5703125" style="3" hidden="1" customWidth="1"/>
    <col min="36" max="36" width="15.5703125" style="4" hidden="1" customWidth="1"/>
    <col min="37" max="37" width="15.85546875" style="3" hidden="1" customWidth="1"/>
    <col min="38" max="38" width="15.42578125" style="3" hidden="1" customWidth="1"/>
    <col min="39" max="39" width="15.5703125" style="4" hidden="1" customWidth="1"/>
    <col min="40" max="40" width="14.85546875" style="3" hidden="1" customWidth="1"/>
    <col min="41" max="41" width="15.42578125" style="3" hidden="1" customWidth="1"/>
    <col min="42" max="42" width="18.7109375" style="4" hidden="1" customWidth="1"/>
    <col min="43" max="43" width="15.5703125" style="3" hidden="1" customWidth="1"/>
    <col min="44" max="44" width="15.42578125" style="3" hidden="1" customWidth="1"/>
    <col min="45" max="45" width="17.140625" style="4" hidden="1" customWidth="1"/>
    <col min="46" max="46" width="15.5703125" style="3" hidden="1" customWidth="1"/>
    <col min="47" max="47" width="15.42578125" style="3" hidden="1" customWidth="1"/>
    <col min="48" max="48" width="17.140625" style="4" hidden="1" customWidth="1"/>
    <col min="49" max="49" width="15.5703125" style="3" hidden="1" customWidth="1"/>
    <col min="50" max="50" width="15.42578125" style="3" hidden="1" customWidth="1"/>
    <col min="51" max="51" width="17.140625" style="4" hidden="1" customWidth="1"/>
    <col min="52" max="52" width="15.5703125" style="3" hidden="1" customWidth="1"/>
    <col min="53" max="53" width="15.42578125" style="3" hidden="1" customWidth="1"/>
    <col min="54" max="54" width="17.140625" style="4" hidden="1" customWidth="1"/>
    <col min="55" max="55" width="15.5703125" style="3" hidden="1" customWidth="1"/>
    <col min="56" max="56" width="16.85546875" style="4" customWidth="1"/>
    <col min="57" max="57" width="15.140625" style="5" customWidth="1"/>
    <col min="58" max="58" width="14" style="6" bestFit="1" customWidth="1"/>
    <col min="59" max="59" width="11.28515625" style="6" bestFit="1" customWidth="1"/>
    <col min="60" max="60" width="12.85546875" style="6" customWidth="1"/>
    <col min="61" max="61" width="9.5703125" style="6" bestFit="1" customWidth="1"/>
    <col min="62" max="214" width="9.140625" style="6"/>
    <col min="215" max="256" width="9.140625" style="1"/>
    <col min="257" max="259" width="0" style="1" hidden="1" customWidth="1"/>
    <col min="260" max="260" width="8.85546875" style="1" customWidth="1"/>
    <col min="261" max="261" width="7.5703125" style="1" customWidth="1"/>
    <col min="262" max="262" width="55.5703125" style="1" customWidth="1"/>
    <col min="263" max="311" width="0" style="1" hidden="1" customWidth="1"/>
    <col min="312" max="312" width="16.85546875" style="1" customWidth="1"/>
    <col min="313" max="313" width="15.140625" style="1" customWidth="1"/>
    <col min="314" max="314" width="14" style="1" bestFit="1" customWidth="1"/>
    <col min="315" max="315" width="11.28515625" style="1" bestFit="1" customWidth="1"/>
    <col min="316" max="316" width="12.85546875" style="1" customWidth="1"/>
    <col min="317" max="317" width="9.5703125" style="1" bestFit="1" customWidth="1"/>
    <col min="318" max="512" width="9.140625" style="1"/>
    <col min="513" max="515" width="0" style="1" hidden="1" customWidth="1"/>
    <col min="516" max="516" width="8.85546875" style="1" customWidth="1"/>
    <col min="517" max="517" width="7.5703125" style="1" customWidth="1"/>
    <col min="518" max="518" width="55.5703125" style="1" customWidth="1"/>
    <col min="519" max="567" width="0" style="1" hidden="1" customWidth="1"/>
    <col min="568" max="568" width="16.85546875" style="1" customWidth="1"/>
    <col min="569" max="569" width="15.140625" style="1" customWidth="1"/>
    <col min="570" max="570" width="14" style="1" bestFit="1" customWidth="1"/>
    <col min="571" max="571" width="11.28515625" style="1" bestFit="1" customWidth="1"/>
    <col min="572" max="572" width="12.85546875" style="1" customWidth="1"/>
    <col min="573" max="573" width="9.5703125" style="1" bestFit="1" customWidth="1"/>
    <col min="574" max="768" width="9.140625" style="1"/>
    <col min="769" max="771" width="0" style="1" hidden="1" customWidth="1"/>
    <col min="772" max="772" width="8.85546875" style="1" customWidth="1"/>
    <col min="773" max="773" width="7.5703125" style="1" customWidth="1"/>
    <col min="774" max="774" width="55.5703125" style="1" customWidth="1"/>
    <col min="775" max="823" width="0" style="1" hidden="1" customWidth="1"/>
    <col min="824" max="824" width="16.85546875" style="1" customWidth="1"/>
    <col min="825" max="825" width="15.140625" style="1" customWidth="1"/>
    <col min="826" max="826" width="14" style="1" bestFit="1" customWidth="1"/>
    <col min="827" max="827" width="11.28515625" style="1" bestFit="1" customWidth="1"/>
    <col min="828" max="828" width="12.85546875" style="1" customWidth="1"/>
    <col min="829" max="829" width="9.5703125" style="1" bestFit="1" customWidth="1"/>
    <col min="830" max="1024" width="9.140625" style="1"/>
    <col min="1025" max="1027" width="0" style="1" hidden="1" customWidth="1"/>
    <col min="1028" max="1028" width="8.85546875" style="1" customWidth="1"/>
    <col min="1029" max="1029" width="7.5703125" style="1" customWidth="1"/>
    <col min="1030" max="1030" width="55.5703125" style="1" customWidth="1"/>
    <col min="1031" max="1079" width="0" style="1" hidden="1" customWidth="1"/>
    <col min="1080" max="1080" width="16.85546875" style="1" customWidth="1"/>
    <col min="1081" max="1081" width="15.140625" style="1" customWidth="1"/>
    <col min="1082" max="1082" width="14" style="1" bestFit="1" customWidth="1"/>
    <col min="1083" max="1083" width="11.28515625" style="1" bestFit="1" customWidth="1"/>
    <col min="1084" max="1084" width="12.85546875" style="1" customWidth="1"/>
    <col min="1085" max="1085" width="9.5703125" style="1" bestFit="1" customWidth="1"/>
    <col min="1086" max="1280" width="9.140625" style="1"/>
    <col min="1281" max="1283" width="0" style="1" hidden="1" customWidth="1"/>
    <col min="1284" max="1284" width="8.85546875" style="1" customWidth="1"/>
    <col min="1285" max="1285" width="7.5703125" style="1" customWidth="1"/>
    <col min="1286" max="1286" width="55.5703125" style="1" customWidth="1"/>
    <col min="1287" max="1335" width="0" style="1" hidden="1" customWidth="1"/>
    <col min="1336" max="1336" width="16.85546875" style="1" customWidth="1"/>
    <col min="1337" max="1337" width="15.140625" style="1" customWidth="1"/>
    <col min="1338" max="1338" width="14" style="1" bestFit="1" customWidth="1"/>
    <col min="1339" max="1339" width="11.28515625" style="1" bestFit="1" customWidth="1"/>
    <col min="1340" max="1340" width="12.85546875" style="1" customWidth="1"/>
    <col min="1341" max="1341" width="9.5703125" style="1" bestFit="1" customWidth="1"/>
    <col min="1342" max="1536" width="9.140625" style="1"/>
    <col min="1537" max="1539" width="0" style="1" hidden="1" customWidth="1"/>
    <col min="1540" max="1540" width="8.85546875" style="1" customWidth="1"/>
    <col min="1541" max="1541" width="7.5703125" style="1" customWidth="1"/>
    <col min="1542" max="1542" width="55.5703125" style="1" customWidth="1"/>
    <col min="1543" max="1591" width="0" style="1" hidden="1" customWidth="1"/>
    <col min="1592" max="1592" width="16.85546875" style="1" customWidth="1"/>
    <col min="1593" max="1593" width="15.140625" style="1" customWidth="1"/>
    <col min="1594" max="1594" width="14" style="1" bestFit="1" customWidth="1"/>
    <col min="1595" max="1595" width="11.28515625" style="1" bestFit="1" customWidth="1"/>
    <col min="1596" max="1596" width="12.85546875" style="1" customWidth="1"/>
    <col min="1597" max="1597" width="9.5703125" style="1" bestFit="1" customWidth="1"/>
    <col min="1598" max="1792" width="9.140625" style="1"/>
    <col min="1793" max="1795" width="0" style="1" hidden="1" customWidth="1"/>
    <col min="1796" max="1796" width="8.85546875" style="1" customWidth="1"/>
    <col min="1797" max="1797" width="7.5703125" style="1" customWidth="1"/>
    <col min="1798" max="1798" width="55.5703125" style="1" customWidth="1"/>
    <col min="1799" max="1847" width="0" style="1" hidden="1" customWidth="1"/>
    <col min="1848" max="1848" width="16.85546875" style="1" customWidth="1"/>
    <col min="1849" max="1849" width="15.140625" style="1" customWidth="1"/>
    <col min="1850" max="1850" width="14" style="1" bestFit="1" customWidth="1"/>
    <col min="1851" max="1851" width="11.28515625" style="1" bestFit="1" customWidth="1"/>
    <col min="1852" max="1852" width="12.85546875" style="1" customWidth="1"/>
    <col min="1853" max="1853" width="9.5703125" style="1" bestFit="1" customWidth="1"/>
    <col min="1854" max="2048" width="9.140625" style="1"/>
    <col min="2049" max="2051" width="0" style="1" hidden="1" customWidth="1"/>
    <col min="2052" max="2052" width="8.85546875" style="1" customWidth="1"/>
    <col min="2053" max="2053" width="7.5703125" style="1" customWidth="1"/>
    <col min="2054" max="2054" width="55.5703125" style="1" customWidth="1"/>
    <col min="2055" max="2103" width="0" style="1" hidden="1" customWidth="1"/>
    <col min="2104" max="2104" width="16.85546875" style="1" customWidth="1"/>
    <col min="2105" max="2105" width="15.140625" style="1" customWidth="1"/>
    <col min="2106" max="2106" width="14" style="1" bestFit="1" customWidth="1"/>
    <col min="2107" max="2107" width="11.28515625" style="1" bestFit="1" customWidth="1"/>
    <col min="2108" max="2108" width="12.85546875" style="1" customWidth="1"/>
    <col min="2109" max="2109" width="9.5703125" style="1" bestFit="1" customWidth="1"/>
    <col min="2110" max="2304" width="9.140625" style="1"/>
    <col min="2305" max="2307" width="0" style="1" hidden="1" customWidth="1"/>
    <col min="2308" max="2308" width="8.85546875" style="1" customWidth="1"/>
    <col min="2309" max="2309" width="7.5703125" style="1" customWidth="1"/>
    <col min="2310" max="2310" width="55.5703125" style="1" customWidth="1"/>
    <col min="2311" max="2359" width="0" style="1" hidden="1" customWidth="1"/>
    <col min="2360" max="2360" width="16.85546875" style="1" customWidth="1"/>
    <col min="2361" max="2361" width="15.140625" style="1" customWidth="1"/>
    <col min="2362" max="2362" width="14" style="1" bestFit="1" customWidth="1"/>
    <col min="2363" max="2363" width="11.28515625" style="1" bestFit="1" customWidth="1"/>
    <col min="2364" max="2364" width="12.85546875" style="1" customWidth="1"/>
    <col min="2365" max="2365" width="9.5703125" style="1" bestFit="1" customWidth="1"/>
    <col min="2366" max="2560" width="9.140625" style="1"/>
    <col min="2561" max="2563" width="0" style="1" hidden="1" customWidth="1"/>
    <col min="2564" max="2564" width="8.85546875" style="1" customWidth="1"/>
    <col min="2565" max="2565" width="7.5703125" style="1" customWidth="1"/>
    <col min="2566" max="2566" width="55.5703125" style="1" customWidth="1"/>
    <col min="2567" max="2615" width="0" style="1" hidden="1" customWidth="1"/>
    <col min="2616" max="2616" width="16.85546875" style="1" customWidth="1"/>
    <col min="2617" max="2617" width="15.140625" style="1" customWidth="1"/>
    <col min="2618" max="2618" width="14" style="1" bestFit="1" customWidth="1"/>
    <col min="2619" max="2619" width="11.28515625" style="1" bestFit="1" customWidth="1"/>
    <col min="2620" max="2620" width="12.85546875" style="1" customWidth="1"/>
    <col min="2621" max="2621" width="9.5703125" style="1" bestFit="1" customWidth="1"/>
    <col min="2622" max="2816" width="9.140625" style="1"/>
    <col min="2817" max="2819" width="0" style="1" hidden="1" customWidth="1"/>
    <col min="2820" max="2820" width="8.85546875" style="1" customWidth="1"/>
    <col min="2821" max="2821" width="7.5703125" style="1" customWidth="1"/>
    <col min="2822" max="2822" width="55.5703125" style="1" customWidth="1"/>
    <col min="2823" max="2871" width="0" style="1" hidden="1" customWidth="1"/>
    <col min="2872" max="2872" width="16.85546875" style="1" customWidth="1"/>
    <col min="2873" max="2873" width="15.140625" style="1" customWidth="1"/>
    <col min="2874" max="2874" width="14" style="1" bestFit="1" customWidth="1"/>
    <col min="2875" max="2875" width="11.28515625" style="1" bestFit="1" customWidth="1"/>
    <col min="2876" max="2876" width="12.85546875" style="1" customWidth="1"/>
    <col min="2877" max="2877" width="9.5703125" style="1" bestFit="1" customWidth="1"/>
    <col min="2878" max="3072" width="9.140625" style="1"/>
    <col min="3073" max="3075" width="0" style="1" hidden="1" customWidth="1"/>
    <col min="3076" max="3076" width="8.85546875" style="1" customWidth="1"/>
    <col min="3077" max="3077" width="7.5703125" style="1" customWidth="1"/>
    <col min="3078" max="3078" width="55.5703125" style="1" customWidth="1"/>
    <col min="3079" max="3127" width="0" style="1" hidden="1" customWidth="1"/>
    <col min="3128" max="3128" width="16.85546875" style="1" customWidth="1"/>
    <col min="3129" max="3129" width="15.140625" style="1" customWidth="1"/>
    <col min="3130" max="3130" width="14" style="1" bestFit="1" customWidth="1"/>
    <col min="3131" max="3131" width="11.28515625" style="1" bestFit="1" customWidth="1"/>
    <col min="3132" max="3132" width="12.85546875" style="1" customWidth="1"/>
    <col min="3133" max="3133" width="9.5703125" style="1" bestFit="1" customWidth="1"/>
    <col min="3134" max="3328" width="9.140625" style="1"/>
    <col min="3329" max="3331" width="0" style="1" hidden="1" customWidth="1"/>
    <col min="3332" max="3332" width="8.85546875" style="1" customWidth="1"/>
    <col min="3333" max="3333" width="7.5703125" style="1" customWidth="1"/>
    <col min="3334" max="3334" width="55.5703125" style="1" customWidth="1"/>
    <col min="3335" max="3383" width="0" style="1" hidden="1" customWidth="1"/>
    <col min="3384" max="3384" width="16.85546875" style="1" customWidth="1"/>
    <col min="3385" max="3385" width="15.140625" style="1" customWidth="1"/>
    <col min="3386" max="3386" width="14" style="1" bestFit="1" customWidth="1"/>
    <col min="3387" max="3387" width="11.28515625" style="1" bestFit="1" customWidth="1"/>
    <col min="3388" max="3388" width="12.85546875" style="1" customWidth="1"/>
    <col min="3389" max="3389" width="9.5703125" style="1" bestFit="1" customWidth="1"/>
    <col min="3390" max="3584" width="9.140625" style="1"/>
    <col min="3585" max="3587" width="0" style="1" hidden="1" customWidth="1"/>
    <col min="3588" max="3588" width="8.85546875" style="1" customWidth="1"/>
    <col min="3589" max="3589" width="7.5703125" style="1" customWidth="1"/>
    <col min="3590" max="3590" width="55.5703125" style="1" customWidth="1"/>
    <col min="3591" max="3639" width="0" style="1" hidden="1" customWidth="1"/>
    <col min="3640" max="3640" width="16.85546875" style="1" customWidth="1"/>
    <col min="3641" max="3641" width="15.140625" style="1" customWidth="1"/>
    <col min="3642" max="3642" width="14" style="1" bestFit="1" customWidth="1"/>
    <col min="3643" max="3643" width="11.28515625" style="1" bestFit="1" customWidth="1"/>
    <col min="3644" max="3644" width="12.85546875" style="1" customWidth="1"/>
    <col min="3645" max="3645" width="9.5703125" style="1" bestFit="1" customWidth="1"/>
    <col min="3646" max="3840" width="9.140625" style="1"/>
    <col min="3841" max="3843" width="0" style="1" hidden="1" customWidth="1"/>
    <col min="3844" max="3844" width="8.85546875" style="1" customWidth="1"/>
    <col min="3845" max="3845" width="7.5703125" style="1" customWidth="1"/>
    <col min="3846" max="3846" width="55.5703125" style="1" customWidth="1"/>
    <col min="3847" max="3895" width="0" style="1" hidden="1" customWidth="1"/>
    <col min="3896" max="3896" width="16.85546875" style="1" customWidth="1"/>
    <col min="3897" max="3897" width="15.140625" style="1" customWidth="1"/>
    <col min="3898" max="3898" width="14" style="1" bestFit="1" customWidth="1"/>
    <col min="3899" max="3899" width="11.28515625" style="1" bestFit="1" customWidth="1"/>
    <col min="3900" max="3900" width="12.85546875" style="1" customWidth="1"/>
    <col min="3901" max="3901" width="9.5703125" style="1" bestFit="1" customWidth="1"/>
    <col min="3902" max="4096" width="9.140625" style="1"/>
    <col min="4097" max="4099" width="0" style="1" hidden="1" customWidth="1"/>
    <col min="4100" max="4100" width="8.85546875" style="1" customWidth="1"/>
    <col min="4101" max="4101" width="7.5703125" style="1" customWidth="1"/>
    <col min="4102" max="4102" width="55.5703125" style="1" customWidth="1"/>
    <col min="4103" max="4151" width="0" style="1" hidden="1" customWidth="1"/>
    <col min="4152" max="4152" width="16.85546875" style="1" customWidth="1"/>
    <col min="4153" max="4153" width="15.140625" style="1" customWidth="1"/>
    <col min="4154" max="4154" width="14" style="1" bestFit="1" customWidth="1"/>
    <col min="4155" max="4155" width="11.28515625" style="1" bestFit="1" customWidth="1"/>
    <col min="4156" max="4156" width="12.85546875" style="1" customWidth="1"/>
    <col min="4157" max="4157" width="9.5703125" style="1" bestFit="1" customWidth="1"/>
    <col min="4158" max="4352" width="9.140625" style="1"/>
    <col min="4353" max="4355" width="0" style="1" hidden="1" customWidth="1"/>
    <col min="4356" max="4356" width="8.85546875" style="1" customWidth="1"/>
    <col min="4357" max="4357" width="7.5703125" style="1" customWidth="1"/>
    <col min="4358" max="4358" width="55.5703125" style="1" customWidth="1"/>
    <col min="4359" max="4407" width="0" style="1" hidden="1" customWidth="1"/>
    <col min="4408" max="4408" width="16.85546875" style="1" customWidth="1"/>
    <col min="4409" max="4409" width="15.140625" style="1" customWidth="1"/>
    <col min="4410" max="4410" width="14" style="1" bestFit="1" customWidth="1"/>
    <col min="4411" max="4411" width="11.28515625" style="1" bestFit="1" customWidth="1"/>
    <col min="4412" max="4412" width="12.85546875" style="1" customWidth="1"/>
    <col min="4413" max="4413" width="9.5703125" style="1" bestFit="1" customWidth="1"/>
    <col min="4414" max="4608" width="9.140625" style="1"/>
    <col min="4609" max="4611" width="0" style="1" hidden="1" customWidth="1"/>
    <col min="4612" max="4612" width="8.85546875" style="1" customWidth="1"/>
    <col min="4613" max="4613" width="7.5703125" style="1" customWidth="1"/>
    <col min="4614" max="4614" width="55.5703125" style="1" customWidth="1"/>
    <col min="4615" max="4663" width="0" style="1" hidden="1" customWidth="1"/>
    <col min="4664" max="4664" width="16.85546875" style="1" customWidth="1"/>
    <col min="4665" max="4665" width="15.140625" style="1" customWidth="1"/>
    <col min="4666" max="4666" width="14" style="1" bestFit="1" customWidth="1"/>
    <col min="4667" max="4667" width="11.28515625" style="1" bestFit="1" customWidth="1"/>
    <col min="4668" max="4668" width="12.85546875" style="1" customWidth="1"/>
    <col min="4669" max="4669" width="9.5703125" style="1" bestFit="1" customWidth="1"/>
    <col min="4670" max="4864" width="9.140625" style="1"/>
    <col min="4865" max="4867" width="0" style="1" hidden="1" customWidth="1"/>
    <col min="4868" max="4868" width="8.85546875" style="1" customWidth="1"/>
    <col min="4869" max="4869" width="7.5703125" style="1" customWidth="1"/>
    <col min="4870" max="4870" width="55.5703125" style="1" customWidth="1"/>
    <col min="4871" max="4919" width="0" style="1" hidden="1" customWidth="1"/>
    <col min="4920" max="4920" width="16.85546875" style="1" customWidth="1"/>
    <col min="4921" max="4921" width="15.140625" style="1" customWidth="1"/>
    <col min="4922" max="4922" width="14" style="1" bestFit="1" customWidth="1"/>
    <col min="4923" max="4923" width="11.28515625" style="1" bestFit="1" customWidth="1"/>
    <col min="4924" max="4924" width="12.85546875" style="1" customWidth="1"/>
    <col min="4925" max="4925" width="9.5703125" style="1" bestFit="1" customWidth="1"/>
    <col min="4926" max="5120" width="9.140625" style="1"/>
    <col min="5121" max="5123" width="0" style="1" hidden="1" customWidth="1"/>
    <col min="5124" max="5124" width="8.85546875" style="1" customWidth="1"/>
    <col min="5125" max="5125" width="7.5703125" style="1" customWidth="1"/>
    <col min="5126" max="5126" width="55.5703125" style="1" customWidth="1"/>
    <col min="5127" max="5175" width="0" style="1" hidden="1" customWidth="1"/>
    <col min="5176" max="5176" width="16.85546875" style="1" customWidth="1"/>
    <col min="5177" max="5177" width="15.140625" style="1" customWidth="1"/>
    <col min="5178" max="5178" width="14" style="1" bestFit="1" customWidth="1"/>
    <col min="5179" max="5179" width="11.28515625" style="1" bestFit="1" customWidth="1"/>
    <col min="5180" max="5180" width="12.85546875" style="1" customWidth="1"/>
    <col min="5181" max="5181" width="9.5703125" style="1" bestFit="1" customWidth="1"/>
    <col min="5182" max="5376" width="9.140625" style="1"/>
    <col min="5377" max="5379" width="0" style="1" hidden="1" customWidth="1"/>
    <col min="5380" max="5380" width="8.85546875" style="1" customWidth="1"/>
    <col min="5381" max="5381" width="7.5703125" style="1" customWidth="1"/>
    <col min="5382" max="5382" width="55.5703125" style="1" customWidth="1"/>
    <col min="5383" max="5431" width="0" style="1" hidden="1" customWidth="1"/>
    <col min="5432" max="5432" width="16.85546875" style="1" customWidth="1"/>
    <col min="5433" max="5433" width="15.140625" style="1" customWidth="1"/>
    <col min="5434" max="5434" width="14" style="1" bestFit="1" customWidth="1"/>
    <col min="5435" max="5435" width="11.28515625" style="1" bestFit="1" customWidth="1"/>
    <col min="5436" max="5436" width="12.85546875" style="1" customWidth="1"/>
    <col min="5437" max="5437" width="9.5703125" style="1" bestFit="1" customWidth="1"/>
    <col min="5438" max="5632" width="9.140625" style="1"/>
    <col min="5633" max="5635" width="0" style="1" hidden="1" customWidth="1"/>
    <col min="5636" max="5636" width="8.85546875" style="1" customWidth="1"/>
    <col min="5637" max="5637" width="7.5703125" style="1" customWidth="1"/>
    <col min="5638" max="5638" width="55.5703125" style="1" customWidth="1"/>
    <col min="5639" max="5687" width="0" style="1" hidden="1" customWidth="1"/>
    <col min="5688" max="5688" width="16.85546875" style="1" customWidth="1"/>
    <col min="5689" max="5689" width="15.140625" style="1" customWidth="1"/>
    <col min="5690" max="5690" width="14" style="1" bestFit="1" customWidth="1"/>
    <col min="5691" max="5691" width="11.28515625" style="1" bestFit="1" customWidth="1"/>
    <col min="5692" max="5692" width="12.85546875" style="1" customWidth="1"/>
    <col min="5693" max="5693" width="9.5703125" style="1" bestFit="1" customWidth="1"/>
    <col min="5694" max="5888" width="9.140625" style="1"/>
    <col min="5889" max="5891" width="0" style="1" hidden="1" customWidth="1"/>
    <col min="5892" max="5892" width="8.85546875" style="1" customWidth="1"/>
    <col min="5893" max="5893" width="7.5703125" style="1" customWidth="1"/>
    <col min="5894" max="5894" width="55.5703125" style="1" customWidth="1"/>
    <col min="5895" max="5943" width="0" style="1" hidden="1" customWidth="1"/>
    <col min="5944" max="5944" width="16.85546875" style="1" customWidth="1"/>
    <col min="5945" max="5945" width="15.140625" style="1" customWidth="1"/>
    <col min="5946" max="5946" width="14" style="1" bestFit="1" customWidth="1"/>
    <col min="5947" max="5947" width="11.28515625" style="1" bestFit="1" customWidth="1"/>
    <col min="5948" max="5948" width="12.85546875" style="1" customWidth="1"/>
    <col min="5949" max="5949" width="9.5703125" style="1" bestFit="1" customWidth="1"/>
    <col min="5950" max="6144" width="9.140625" style="1"/>
    <col min="6145" max="6147" width="0" style="1" hidden="1" customWidth="1"/>
    <col min="6148" max="6148" width="8.85546875" style="1" customWidth="1"/>
    <col min="6149" max="6149" width="7.5703125" style="1" customWidth="1"/>
    <col min="6150" max="6150" width="55.5703125" style="1" customWidth="1"/>
    <col min="6151" max="6199" width="0" style="1" hidden="1" customWidth="1"/>
    <col min="6200" max="6200" width="16.85546875" style="1" customWidth="1"/>
    <col min="6201" max="6201" width="15.140625" style="1" customWidth="1"/>
    <col min="6202" max="6202" width="14" style="1" bestFit="1" customWidth="1"/>
    <col min="6203" max="6203" width="11.28515625" style="1" bestFit="1" customWidth="1"/>
    <col min="6204" max="6204" width="12.85546875" style="1" customWidth="1"/>
    <col min="6205" max="6205" width="9.5703125" style="1" bestFit="1" customWidth="1"/>
    <col min="6206" max="6400" width="9.140625" style="1"/>
    <col min="6401" max="6403" width="0" style="1" hidden="1" customWidth="1"/>
    <col min="6404" max="6404" width="8.85546875" style="1" customWidth="1"/>
    <col min="6405" max="6405" width="7.5703125" style="1" customWidth="1"/>
    <col min="6406" max="6406" width="55.5703125" style="1" customWidth="1"/>
    <col min="6407" max="6455" width="0" style="1" hidden="1" customWidth="1"/>
    <col min="6456" max="6456" width="16.85546875" style="1" customWidth="1"/>
    <col min="6457" max="6457" width="15.140625" style="1" customWidth="1"/>
    <col min="6458" max="6458" width="14" style="1" bestFit="1" customWidth="1"/>
    <col min="6459" max="6459" width="11.28515625" style="1" bestFit="1" customWidth="1"/>
    <col min="6460" max="6460" width="12.85546875" style="1" customWidth="1"/>
    <col min="6461" max="6461" width="9.5703125" style="1" bestFit="1" customWidth="1"/>
    <col min="6462" max="6656" width="9.140625" style="1"/>
    <col min="6657" max="6659" width="0" style="1" hidden="1" customWidth="1"/>
    <col min="6660" max="6660" width="8.85546875" style="1" customWidth="1"/>
    <col min="6661" max="6661" width="7.5703125" style="1" customWidth="1"/>
    <col min="6662" max="6662" width="55.5703125" style="1" customWidth="1"/>
    <col min="6663" max="6711" width="0" style="1" hidden="1" customWidth="1"/>
    <col min="6712" max="6712" width="16.85546875" style="1" customWidth="1"/>
    <col min="6713" max="6713" width="15.140625" style="1" customWidth="1"/>
    <col min="6714" max="6714" width="14" style="1" bestFit="1" customWidth="1"/>
    <col min="6715" max="6715" width="11.28515625" style="1" bestFit="1" customWidth="1"/>
    <col min="6716" max="6716" width="12.85546875" style="1" customWidth="1"/>
    <col min="6717" max="6717" width="9.5703125" style="1" bestFit="1" customWidth="1"/>
    <col min="6718" max="6912" width="9.140625" style="1"/>
    <col min="6913" max="6915" width="0" style="1" hidden="1" customWidth="1"/>
    <col min="6916" max="6916" width="8.85546875" style="1" customWidth="1"/>
    <col min="6917" max="6917" width="7.5703125" style="1" customWidth="1"/>
    <col min="6918" max="6918" width="55.5703125" style="1" customWidth="1"/>
    <col min="6919" max="6967" width="0" style="1" hidden="1" customWidth="1"/>
    <col min="6968" max="6968" width="16.85546875" style="1" customWidth="1"/>
    <col min="6969" max="6969" width="15.140625" style="1" customWidth="1"/>
    <col min="6970" max="6970" width="14" style="1" bestFit="1" customWidth="1"/>
    <col min="6971" max="6971" width="11.28515625" style="1" bestFit="1" customWidth="1"/>
    <col min="6972" max="6972" width="12.85546875" style="1" customWidth="1"/>
    <col min="6973" max="6973" width="9.5703125" style="1" bestFit="1" customWidth="1"/>
    <col min="6974" max="7168" width="9.140625" style="1"/>
    <col min="7169" max="7171" width="0" style="1" hidden="1" customWidth="1"/>
    <col min="7172" max="7172" width="8.85546875" style="1" customWidth="1"/>
    <col min="7173" max="7173" width="7.5703125" style="1" customWidth="1"/>
    <col min="7174" max="7174" width="55.5703125" style="1" customWidth="1"/>
    <col min="7175" max="7223" width="0" style="1" hidden="1" customWidth="1"/>
    <col min="7224" max="7224" width="16.85546875" style="1" customWidth="1"/>
    <col min="7225" max="7225" width="15.140625" style="1" customWidth="1"/>
    <col min="7226" max="7226" width="14" style="1" bestFit="1" customWidth="1"/>
    <col min="7227" max="7227" width="11.28515625" style="1" bestFit="1" customWidth="1"/>
    <col min="7228" max="7228" width="12.85546875" style="1" customWidth="1"/>
    <col min="7229" max="7229" width="9.5703125" style="1" bestFit="1" customWidth="1"/>
    <col min="7230" max="7424" width="9.140625" style="1"/>
    <col min="7425" max="7427" width="0" style="1" hidden="1" customWidth="1"/>
    <col min="7428" max="7428" width="8.85546875" style="1" customWidth="1"/>
    <col min="7429" max="7429" width="7.5703125" style="1" customWidth="1"/>
    <col min="7430" max="7430" width="55.5703125" style="1" customWidth="1"/>
    <col min="7431" max="7479" width="0" style="1" hidden="1" customWidth="1"/>
    <col min="7480" max="7480" width="16.85546875" style="1" customWidth="1"/>
    <col min="7481" max="7481" width="15.140625" style="1" customWidth="1"/>
    <col min="7482" max="7482" width="14" style="1" bestFit="1" customWidth="1"/>
    <col min="7483" max="7483" width="11.28515625" style="1" bestFit="1" customWidth="1"/>
    <col min="7484" max="7484" width="12.85546875" style="1" customWidth="1"/>
    <col min="7485" max="7485" width="9.5703125" style="1" bestFit="1" customWidth="1"/>
    <col min="7486" max="7680" width="9.140625" style="1"/>
    <col min="7681" max="7683" width="0" style="1" hidden="1" customWidth="1"/>
    <col min="7684" max="7684" width="8.85546875" style="1" customWidth="1"/>
    <col min="7685" max="7685" width="7.5703125" style="1" customWidth="1"/>
    <col min="7686" max="7686" width="55.5703125" style="1" customWidth="1"/>
    <col min="7687" max="7735" width="0" style="1" hidden="1" customWidth="1"/>
    <col min="7736" max="7736" width="16.85546875" style="1" customWidth="1"/>
    <col min="7737" max="7737" width="15.140625" style="1" customWidth="1"/>
    <col min="7738" max="7738" width="14" style="1" bestFit="1" customWidth="1"/>
    <col min="7739" max="7739" width="11.28515625" style="1" bestFit="1" customWidth="1"/>
    <col min="7740" max="7740" width="12.85546875" style="1" customWidth="1"/>
    <col min="7741" max="7741" width="9.5703125" style="1" bestFit="1" customWidth="1"/>
    <col min="7742" max="7936" width="9.140625" style="1"/>
    <col min="7937" max="7939" width="0" style="1" hidden="1" customWidth="1"/>
    <col min="7940" max="7940" width="8.85546875" style="1" customWidth="1"/>
    <col min="7941" max="7941" width="7.5703125" style="1" customWidth="1"/>
    <col min="7942" max="7942" width="55.5703125" style="1" customWidth="1"/>
    <col min="7943" max="7991" width="0" style="1" hidden="1" customWidth="1"/>
    <col min="7992" max="7992" width="16.85546875" style="1" customWidth="1"/>
    <col min="7993" max="7993" width="15.140625" style="1" customWidth="1"/>
    <col min="7994" max="7994" width="14" style="1" bestFit="1" customWidth="1"/>
    <col min="7995" max="7995" width="11.28515625" style="1" bestFit="1" customWidth="1"/>
    <col min="7996" max="7996" width="12.85546875" style="1" customWidth="1"/>
    <col min="7997" max="7997" width="9.5703125" style="1" bestFit="1" customWidth="1"/>
    <col min="7998" max="8192" width="9.140625" style="1"/>
    <col min="8193" max="8195" width="0" style="1" hidden="1" customWidth="1"/>
    <col min="8196" max="8196" width="8.85546875" style="1" customWidth="1"/>
    <col min="8197" max="8197" width="7.5703125" style="1" customWidth="1"/>
    <col min="8198" max="8198" width="55.5703125" style="1" customWidth="1"/>
    <col min="8199" max="8247" width="0" style="1" hidden="1" customWidth="1"/>
    <col min="8248" max="8248" width="16.85546875" style="1" customWidth="1"/>
    <col min="8249" max="8249" width="15.140625" style="1" customWidth="1"/>
    <col min="8250" max="8250" width="14" style="1" bestFit="1" customWidth="1"/>
    <col min="8251" max="8251" width="11.28515625" style="1" bestFit="1" customWidth="1"/>
    <col min="8252" max="8252" width="12.85546875" style="1" customWidth="1"/>
    <col min="8253" max="8253" width="9.5703125" style="1" bestFit="1" customWidth="1"/>
    <col min="8254" max="8448" width="9.140625" style="1"/>
    <col min="8449" max="8451" width="0" style="1" hidden="1" customWidth="1"/>
    <col min="8452" max="8452" width="8.85546875" style="1" customWidth="1"/>
    <col min="8453" max="8453" width="7.5703125" style="1" customWidth="1"/>
    <col min="8454" max="8454" width="55.5703125" style="1" customWidth="1"/>
    <col min="8455" max="8503" width="0" style="1" hidden="1" customWidth="1"/>
    <col min="8504" max="8504" width="16.85546875" style="1" customWidth="1"/>
    <col min="8505" max="8505" width="15.140625" style="1" customWidth="1"/>
    <col min="8506" max="8506" width="14" style="1" bestFit="1" customWidth="1"/>
    <col min="8507" max="8507" width="11.28515625" style="1" bestFit="1" customWidth="1"/>
    <col min="8508" max="8508" width="12.85546875" style="1" customWidth="1"/>
    <col min="8509" max="8509" width="9.5703125" style="1" bestFit="1" customWidth="1"/>
    <col min="8510" max="8704" width="9.140625" style="1"/>
    <col min="8705" max="8707" width="0" style="1" hidden="1" customWidth="1"/>
    <col min="8708" max="8708" width="8.85546875" style="1" customWidth="1"/>
    <col min="8709" max="8709" width="7.5703125" style="1" customWidth="1"/>
    <col min="8710" max="8710" width="55.5703125" style="1" customWidth="1"/>
    <col min="8711" max="8759" width="0" style="1" hidden="1" customWidth="1"/>
    <col min="8760" max="8760" width="16.85546875" style="1" customWidth="1"/>
    <col min="8761" max="8761" width="15.140625" style="1" customWidth="1"/>
    <col min="8762" max="8762" width="14" style="1" bestFit="1" customWidth="1"/>
    <col min="8763" max="8763" width="11.28515625" style="1" bestFit="1" customWidth="1"/>
    <col min="8764" max="8764" width="12.85546875" style="1" customWidth="1"/>
    <col min="8765" max="8765" width="9.5703125" style="1" bestFit="1" customWidth="1"/>
    <col min="8766" max="8960" width="9.140625" style="1"/>
    <col min="8961" max="8963" width="0" style="1" hidden="1" customWidth="1"/>
    <col min="8964" max="8964" width="8.85546875" style="1" customWidth="1"/>
    <col min="8965" max="8965" width="7.5703125" style="1" customWidth="1"/>
    <col min="8966" max="8966" width="55.5703125" style="1" customWidth="1"/>
    <col min="8967" max="9015" width="0" style="1" hidden="1" customWidth="1"/>
    <col min="9016" max="9016" width="16.85546875" style="1" customWidth="1"/>
    <col min="9017" max="9017" width="15.140625" style="1" customWidth="1"/>
    <col min="9018" max="9018" width="14" style="1" bestFit="1" customWidth="1"/>
    <col min="9019" max="9019" width="11.28515625" style="1" bestFit="1" customWidth="1"/>
    <col min="9020" max="9020" width="12.85546875" style="1" customWidth="1"/>
    <col min="9021" max="9021" width="9.5703125" style="1" bestFit="1" customWidth="1"/>
    <col min="9022" max="9216" width="9.140625" style="1"/>
    <col min="9217" max="9219" width="0" style="1" hidden="1" customWidth="1"/>
    <col min="9220" max="9220" width="8.85546875" style="1" customWidth="1"/>
    <col min="9221" max="9221" width="7.5703125" style="1" customWidth="1"/>
    <col min="9222" max="9222" width="55.5703125" style="1" customWidth="1"/>
    <col min="9223" max="9271" width="0" style="1" hidden="1" customWidth="1"/>
    <col min="9272" max="9272" width="16.85546875" style="1" customWidth="1"/>
    <col min="9273" max="9273" width="15.140625" style="1" customWidth="1"/>
    <col min="9274" max="9274" width="14" style="1" bestFit="1" customWidth="1"/>
    <col min="9275" max="9275" width="11.28515625" style="1" bestFit="1" customWidth="1"/>
    <col min="9276" max="9276" width="12.85546875" style="1" customWidth="1"/>
    <col min="9277" max="9277" width="9.5703125" style="1" bestFit="1" customWidth="1"/>
    <col min="9278" max="9472" width="9.140625" style="1"/>
    <col min="9473" max="9475" width="0" style="1" hidden="1" customWidth="1"/>
    <col min="9476" max="9476" width="8.85546875" style="1" customWidth="1"/>
    <col min="9477" max="9477" width="7.5703125" style="1" customWidth="1"/>
    <col min="9478" max="9478" width="55.5703125" style="1" customWidth="1"/>
    <col min="9479" max="9527" width="0" style="1" hidden="1" customWidth="1"/>
    <col min="9528" max="9528" width="16.85546875" style="1" customWidth="1"/>
    <col min="9529" max="9529" width="15.140625" style="1" customWidth="1"/>
    <col min="9530" max="9530" width="14" style="1" bestFit="1" customWidth="1"/>
    <col min="9531" max="9531" width="11.28515625" style="1" bestFit="1" customWidth="1"/>
    <col min="9532" max="9532" width="12.85546875" style="1" customWidth="1"/>
    <col min="9533" max="9533" width="9.5703125" style="1" bestFit="1" customWidth="1"/>
    <col min="9534" max="9728" width="9.140625" style="1"/>
    <col min="9729" max="9731" width="0" style="1" hidden="1" customWidth="1"/>
    <col min="9732" max="9732" width="8.85546875" style="1" customWidth="1"/>
    <col min="9733" max="9733" width="7.5703125" style="1" customWidth="1"/>
    <col min="9734" max="9734" width="55.5703125" style="1" customWidth="1"/>
    <col min="9735" max="9783" width="0" style="1" hidden="1" customWidth="1"/>
    <col min="9784" max="9784" width="16.85546875" style="1" customWidth="1"/>
    <col min="9785" max="9785" width="15.140625" style="1" customWidth="1"/>
    <col min="9786" max="9786" width="14" style="1" bestFit="1" customWidth="1"/>
    <col min="9787" max="9787" width="11.28515625" style="1" bestFit="1" customWidth="1"/>
    <col min="9788" max="9788" width="12.85546875" style="1" customWidth="1"/>
    <col min="9789" max="9789" width="9.5703125" style="1" bestFit="1" customWidth="1"/>
    <col min="9790" max="9984" width="9.140625" style="1"/>
    <col min="9985" max="9987" width="0" style="1" hidden="1" customWidth="1"/>
    <col min="9988" max="9988" width="8.85546875" style="1" customWidth="1"/>
    <col min="9989" max="9989" width="7.5703125" style="1" customWidth="1"/>
    <col min="9990" max="9990" width="55.5703125" style="1" customWidth="1"/>
    <col min="9991" max="10039" width="0" style="1" hidden="1" customWidth="1"/>
    <col min="10040" max="10040" width="16.85546875" style="1" customWidth="1"/>
    <col min="10041" max="10041" width="15.140625" style="1" customWidth="1"/>
    <col min="10042" max="10042" width="14" style="1" bestFit="1" customWidth="1"/>
    <col min="10043" max="10043" width="11.28515625" style="1" bestFit="1" customWidth="1"/>
    <col min="10044" max="10044" width="12.85546875" style="1" customWidth="1"/>
    <col min="10045" max="10045" width="9.5703125" style="1" bestFit="1" customWidth="1"/>
    <col min="10046" max="10240" width="9.140625" style="1"/>
    <col min="10241" max="10243" width="0" style="1" hidden="1" customWidth="1"/>
    <col min="10244" max="10244" width="8.85546875" style="1" customWidth="1"/>
    <col min="10245" max="10245" width="7.5703125" style="1" customWidth="1"/>
    <col min="10246" max="10246" width="55.5703125" style="1" customWidth="1"/>
    <col min="10247" max="10295" width="0" style="1" hidden="1" customWidth="1"/>
    <col min="10296" max="10296" width="16.85546875" style="1" customWidth="1"/>
    <col min="10297" max="10297" width="15.140625" style="1" customWidth="1"/>
    <col min="10298" max="10298" width="14" style="1" bestFit="1" customWidth="1"/>
    <col min="10299" max="10299" width="11.28515625" style="1" bestFit="1" customWidth="1"/>
    <col min="10300" max="10300" width="12.85546875" style="1" customWidth="1"/>
    <col min="10301" max="10301" width="9.5703125" style="1" bestFit="1" customWidth="1"/>
    <col min="10302" max="10496" width="9.140625" style="1"/>
    <col min="10497" max="10499" width="0" style="1" hidden="1" customWidth="1"/>
    <col min="10500" max="10500" width="8.85546875" style="1" customWidth="1"/>
    <col min="10501" max="10501" width="7.5703125" style="1" customWidth="1"/>
    <col min="10502" max="10502" width="55.5703125" style="1" customWidth="1"/>
    <col min="10503" max="10551" width="0" style="1" hidden="1" customWidth="1"/>
    <col min="10552" max="10552" width="16.85546875" style="1" customWidth="1"/>
    <col min="10553" max="10553" width="15.140625" style="1" customWidth="1"/>
    <col min="10554" max="10554" width="14" style="1" bestFit="1" customWidth="1"/>
    <col min="10555" max="10555" width="11.28515625" style="1" bestFit="1" customWidth="1"/>
    <col min="10556" max="10556" width="12.85546875" style="1" customWidth="1"/>
    <col min="10557" max="10557" width="9.5703125" style="1" bestFit="1" customWidth="1"/>
    <col min="10558" max="10752" width="9.140625" style="1"/>
    <col min="10753" max="10755" width="0" style="1" hidden="1" customWidth="1"/>
    <col min="10756" max="10756" width="8.85546875" style="1" customWidth="1"/>
    <col min="10757" max="10757" width="7.5703125" style="1" customWidth="1"/>
    <col min="10758" max="10758" width="55.5703125" style="1" customWidth="1"/>
    <col min="10759" max="10807" width="0" style="1" hidden="1" customWidth="1"/>
    <col min="10808" max="10808" width="16.85546875" style="1" customWidth="1"/>
    <col min="10809" max="10809" width="15.140625" style="1" customWidth="1"/>
    <col min="10810" max="10810" width="14" style="1" bestFit="1" customWidth="1"/>
    <col min="10811" max="10811" width="11.28515625" style="1" bestFit="1" customWidth="1"/>
    <col min="10812" max="10812" width="12.85546875" style="1" customWidth="1"/>
    <col min="10813" max="10813" width="9.5703125" style="1" bestFit="1" customWidth="1"/>
    <col min="10814" max="11008" width="9.140625" style="1"/>
    <col min="11009" max="11011" width="0" style="1" hidden="1" customWidth="1"/>
    <col min="11012" max="11012" width="8.85546875" style="1" customWidth="1"/>
    <col min="11013" max="11013" width="7.5703125" style="1" customWidth="1"/>
    <col min="11014" max="11014" width="55.5703125" style="1" customWidth="1"/>
    <col min="11015" max="11063" width="0" style="1" hidden="1" customWidth="1"/>
    <col min="11064" max="11064" width="16.85546875" style="1" customWidth="1"/>
    <col min="11065" max="11065" width="15.140625" style="1" customWidth="1"/>
    <col min="11066" max="11066" width="14" style="1" bestFit="1" customWidth="1"/>
    <col min="11067" max="11067" width="11.28515625" style="1" bestFit="1" customWidth="1"/>
    <col min="11068" max="11068" width="12.85546875" style="1" customWidth="1"/>
    <col min="11069" max="11069" width="9.5703125" style="1" bestFit="1" customWidth="1"/>
    <col min="11070" max="11264" width="9.140625" style="1"/>
    <col min="11265" max="11267" width="0" style="1" hidden="1" customWidth="1"/>
    <col min="11268" max="11268" width="8.85546875" style="1" customWidth="1"/>
    <col min="11269" max="11269" width="7.5703125" style="1" customWidth="1"/>
    <col min="11270" max="11270" width="55.5703125" style="1" customWidth="1"/>
    <col min="11271" max="11319" width="0" style="1" hidden="1" customWidth="1"/>
    <col min="11320" max="11320" width="16.85546875" style="1" customWidth="1"/>
    <col min="11321" max="11321" width="15.140625" style="1" customWidth="1"/>
    <col min="11322" max="11322" width="14" style="1" bestFit="1" customWidth="1"/>
    <col min="11323" max="11323" width="11.28515625" style="1" bestFit="1" customWidth="1"/>
    <col min="11324" max="11324" width="12.85546875" style="1" customWidth="1"/>
    <col min="11325" max="11325" width="9.5703125" style="1" bestFit="1" customWidth="1"/>
    <col min="11326" max="11520" width="9.140625" style="1"/>
    <col min="11521" max="11523" width="0" style="1" hidden="1" customWidth="1"/>
    <col min="11524" max="11524" width="8.85546875" style="1" customWidth="1"/>
    <col min="11525" max="11525" width="7.5703125" style="1" customWidth="1"/>
    <col min="11526" max="11526" width="55.5703125" style="1" customWidth="1"/>
    <col min="11527" max="11575" width="0" style="1" hidden="1" customWidth="1"/>
    <col min="11576" max="11576" width="16.85546875" style="1" customWidth="1"/>
    <col min="11577" max="11577" width="15.140625" style="1" customWidth="1"/>
    <col min="11578" max="11578" width="14" style="1" bestFit="1" customWidth="1"/>
    <col min="11579" max="11579" width="11.28515625" style="1" bestFit="1" customWidth="1"/>
    <col min="11580" max="11580" width="12.85546875" style="1" customWidth="1"/>
    <col min="11581" max="11581" width="9.5703125" style="1" bestFit="1" customWidth="1"/>
    <col min="11582" max="11776" width="9.140625" style="1"/>
    <col min="11777" max="11779" width="0" style="1" hidden="1" customWidth="1"/>
    <col min="11780" max="11780" width="8.85546875" style="1" customWidth="1"/>
    <col min="11781" max="11781" width="7.5703125" style="1" customWidth="1"/>
    <col min="11782" max="11782" width="55.5703125" style="1" customWidth="1"/>
    <col min="11783" max="11831" width="0" style="1" hidden="1" customWidth="1"/>
    <col min="11832" max="11832" width="16.85546875" style="1" customWidth="1"/>
    <col min="11833" max="11833" width="15.140625" style="1" customWidth="1"/>
    <col min="11834" max="11834" width="14" style="1" bestFit="1" customWidth="1"/>
    <col min="11835" max="11835" width="11.28515625" style="1" bestFit="1" customWidth="1"/>
    <col min="11836" max="11836" width="12.85546875" style="1" customWidth="1"/>
    <col min="11837" max="11837" width="9.5703125" style="1" bestFit="1" customWidth="1"/>
    <col min="11838" max="12032" width="9.140625" style="1"/>
    <col min="12033" max="12035" width="0" style="1" hidden="1" customWidth="1"/>
    <col min="12036" max="12036" width="8.85546875" style="1" customWidth="1"/>
    <col min="12037" max="12037" width="7.5703125" style="1" customWidth="1"/>
    <col min="12038" max="12038" width="55.5703125" style="1" customWidth="1"/>
    <col min="12039" max="12087" width="0" style="1" hidden="1" customWidth="1"/>
    <col min="12088" max="12088" width="16.85546875" style="1" customWidth="1"/>
    <col min="12089" max="12089" width="15.140625" style="1" customWidth="1"/>
    <col min="12090" max="12090" width="14" style="1" bestFit="1" customWidth="1"/>
    <col min="12091" max="12091" width="11.28515625" style="1" bestFit="1" customWidth="1"/>
    <col min="12092" max="12092" width="12.85546875" style="1" customWidth="1"/>
    <col min="12093" max="12093" width="9.5703125" style="1" bestFit="1" customWidth="1"/>
    <col min="12094" max="12288" width="9.140625" style="1"/>
    <col min="12289" max="12291" width="0" style="1" hidden="1" customWidth="1"/>
    <col min="12292" max="12292" width="8.85546875" style="1" customWidth="1"/>
    <col min="12293" max="12293" width="7.5703125" style="1" customWidth="1"/>
    <col min="12294" max="12294" width="55.5703125" style="1" customWidth="1"/>
    <col min="12295" max="12343" width="0" style="1" hidden="1" customWidth="1"/>
    <col min="12344" max="12344" width="16.85546875" style="1" customWidth="1"/>
    <col min="12345" max="12345" width="15.140625" style="1" customWidth="1"/>
    <col min="12346" max="12346" width="14" style="1" bestFit="1" customWidth="1"/>
    <col min="12347" max="12347" width="11.28515625" style="1" bestFit="1" customWidth="1"/>
    <col min="12348" max="12348" width="12.85546875" style="1" customWidth="1"/>
    <col min="12349" max="12349" width="9.5703125" style="1" bestFit="1" customWidth="1"/>
    <col min="12350" max="12544" width="9.140625" style="1"/>
    <col min="12545" max="12547" width="0" style="1" hidden="1" customWidth="1"/>
    <col min="12548" max="12548" width="8.85546875" style="1" customWidth="1"/>
    <col min="12549" max="12549" width="7.5703125" style="1" customWidth="1"/>
    <col min="12550" max="12550" width="55.5703125" style="1" customWidth="1"/>
    <col min="12551" max="12599" width="0" style="1" hidden="1" customWidth="1"/>
    <col min="12600" max="12600" width="16.85546875" style="1" customWidth="1"/>
    <col min="12601" max="12601" width="15.140625" style="1" customWidth="1"/>
    <col min="12602" max="12602" width="14" style="1" bestFit="1" customWidth="1"/>
    <col min="12603" max="12603" width="11.28515625" style="1" bestFit="1" customWidth="1"/>
    <col min="12604" max="12604" width="12.85546875" style="1" customWidth="1"/>
    <col min="12605" max="12605" width="9.5703125" style="1" bestFit="1" customWidth="1"/>
    <col min="12606" max="12800" width="9.140625" style="1"/>
    <col min="12801" max="12803" width="0" style="1" hidden="1" customWidth="1"/>
    <col min="12804" max="12804" width="8.85546875" style="1" customWidth="1"/>
    <col min="12805" max="12805" width="7.5703125" style="1" customWidth="1"/>
    <col min="12806" max="12806" width="55.5703125" style="1" customWidth="1"/>
    <col min="12807" max="12855" width="0" style="1" hidden="1" customWidth="1"/>
    <col min="12856" max="12856" width="16.85546875" style="1" customWidth="1"/>
    <col min="12857" max="12857" width="15.140625" style="1" customWidth="1"/>
    <col min="12858" max="12858" width="14" style="1" bestFit="1" customWidth="1"/>
    <col min="12859" max="12859" width="11.28515625" style="1" bestFit="1" customWidth="1"/>
    <col min="12860" max="12860" width="12.85546875" style="1" customWidth="1"/>
    <col min="12861" max="12861" width="9.5703125" style="1" bestFit="1" customWidth="1"/>
    <col min="12862" max="13056" width="9.140625" style="1"/>
    <col min="13057" max="13059" width="0" style="1" hidden="1" customWidth="1"/>
    <col min="13060" max="13060" width="8.85546875" style="1" customWidth="1"/>
    <col min="13061" max="13061" width="7.5703125" style="1" customWidth="1"/>
    <col min="13062" max="13062" width="55.5703125" style="1" customWidth="1"/>
    <col min="13063" max="13111" width="0" style="1" hidden="1" customWidth="1"/>
    <col min="13112" max="13112" width="16.85546875" style="1" customWidth="1"/>
    <col min="13113" max="13113" width="15.140625" style="1" customWidth="1"/>
    <col min="13114" max="13114" width="14" style="1" bestFit="1" customWidth="1"/>
    <col min="13115" max="13115" width="11.28515625" style="1" bestFit="1" customWidth="1"/>
    <col min="13116" max="13116" width="12.85546875" style="1" customWidth="1"/>
    <col min="13117" max="13117" width="9.5703125" style="1" bestFit="1" customWidth="1"/>
    <col min="13118" max="13312" width="9.140625" style="1"/>
    <col min="13313" max="13315" width="0" style="1" hidden="1" customWidth="1"/>
    <col min="13316" max="13316" width="8.85546875" style="1" customWidth="1"/>
    <col min="13317" max="13317" width="7.5703125" style="1" customWidth="1"/>
    <col min="13318" max="13318" width="55.5703125" style="1" customWidth="1"/>
    <col min="13319" max="13367" width="0" style="1" hidden="1" customWidth="1"/>
    <col min="13368" max="13368" width="16.85546875" style="1" customWidth="1"/>
    <col min="13369" max="13369" width="15.140625" style="1" customWidth="1"/>
    <col min="13370" max="13370" width="14" style="1" bestFit="1" customWidth="1"/>
    <col min="13371" max="13371" width="11.28515625" style="1" bestFit="1" customWidth="1"/>
    <col min="13372" max="13372" width="12.85546875" style="1" customWidth="1"/>
    <col min="13373" max="13373" width="9.5703125" style="1" bestFit="1" customWidth="1"/>
    <col min="13374" max="13568" width="9.140625" style="1"/>
    <col min="13569" max="13571" width="0" style="1" hidden="1" customWidth="1"/>
    <col min="13572" max="13572" width="8.85546875" style="1" customWidth="1"/>
    <col min="13573" max="13573" width="7.5703125" style="1" customWidth="1"/>
    <col min="13574" max="13574" width="55.5703125" style="1" customWidth="1"/>
    <col min="13575" max="13623" width="0" style="1" hidden="1" customWidth="1"/>
    <col min="13624" max="13624" width="16.85546875" style="1" customWidth="1"/>
    <col min="13625" max="13625" width="15.140625" style="1" customWidth="1"/>
    <col min="13626" max="13626" width="14" style="1" bestFit="1" customWidth="1"/>
    <col min="13627" max="13627" width="11.28515625" style="1" bestFit="1" customWidth="1"/>
    <col min="13628" max="13628" width="12.85546875" style="1" customWidth="1"/>
    <col min="13629" max="13629" width="9.5703125" style="1" bestFit="1" customWidth="1"/>
    <col min="13630" max="13824" width="9.140625" style="1"/>
    <col min="13825" max="13827" width="0" style="1" hidden="1" customWidth="1"/>
    <col min="13828" max="13828" width="8.85546875" style="1" customWidth="1"/>
    <col min="13829" max="13829" width="7.5703125" style="1" customWidth="1"/>
    <col min="13830" max="13830" width="55.5703125" style="1" customWidth="1"/>
    <col min="13831" max="13879" width="0" style="1" hidden="1" customWidth="1"/>
    <col min="13880" max="13880" width="16.85546875" style="1" customWidth="1"/>
    <col min="13881" max="13881" width="15.140625" style="1" customWidth="1"/>
    <col min="13882" max="13882" width="14" style="1" bestFit="1" customWidth="1"/>
    <col min="13883" max="13883" width="11.28515625" style="1" bestFit="1" customWidth="1"/>
    <col min="13884" max="13884" width="12.85546875" style="1" customWidth="1"/>
    <col min="13885" max="13885" width="9.5703125" style="1" bestFit="1" customWidth="1"/>
    <col min="13886" max="14080" width="9.140625" style="1"/>
    <col min="14081" max="14083" width="0" style="1" hidden="1" customWidth="1"/>
    <col min="14084" max="14084" width="8.85546875" style="1" customWidth="1"/>
    <col min="14085" max="14085" width="7.5703125" style="1" customWidth="1"/>
    <col min="14086" max="14086" width="55.5703125" style="1" customWidth="1"/>
    <col min="14087" max="14135" width="0" style="1" hidden="1" customWidth="1"/>
    <col min="14136" max="14136" width="16.85546875" style="1" customWidth="1"/>
    <col min="14137" max="14137" width="15.140625" style="1" customWidth="1"/>
    <col min="14138" max="14138" width="14" style="1" bestFit="1" customWidth="1"/>
    <col min="14139" max="14139" width="11.28515625" style="1" bestFit="1" customWidth="1"/>
    <col min="14140" max="14140" width="12.85546875" style="1" customWidth="1"/>
    <col min="14141" max="14141" width="9.5703125" style="1" bestFit="1" customWidth="1"/>
    <col min="14142" max="14336" width="9.140625" style="1"/>
    <col min="14337" max="14339" width="0" style="1" hidden="1" customWidth="1"/>
    <col min="14340" max="14340" width="8.85546875" style="1" customWidth="1"/>
    <col min="14341" max="14341" width="7.5703125" style="1" customWidth="1"/>
    <col min="14342" max="14342" width="55.5703125" style="1" customWidth="1"/>
    <col min="14343" max="14391" width="0" style="1" hidden="1" customWidth="1"/>
    <col min="14392" max="14392" width="16.85546875" style="1" customWidth="1"/>
    <col min="14393" max="14393" width="15.140625" style="1" customWidth="1"/>
    <col min="14394" max="14394" width="14" style="1" bestFit="1" customWidth="1"/>
    <col min="14395" max="14395" width="11.28515625" style="1" bestFit="1" customWidth="1"/>
    <col min="14396" max="14396" width="12.85546875" style="1" customWidth="1"/>
    <col min="14397" max="14397" width="9.5703125" style="1" bestFit="1" customWidth="1"/>
    <col min="14398" max="14592" width="9.140625" style="1"/>
    <col min="14593" max="14595" width="0" style="1" hidden="1" customWidth="1"/>
    <col min="14596" max="14596" width="8.85546875" style="1" customWidth="1"/>
    <col min="14597" max="14597" width="7.5703125" style="1" customWidth="1"/>
    <col min="14598" max="14598" width="55.5703125" style="1" customWidth="1"/>
    <col min="14599" max="14647" width="0" style="1" hidden="1" customWidth="1"/>
    <col min="14648" max="14648" width="16.85546875" style="1" customWidth="1"/>
    <col min="14649" max="14649" width="15.140625" style="1" customWidth="1"/>
    <col min="14650" max="14650" width="14" style="1" bestFit="1" customWidth="1"/>
    <col min="14651" max="14651" width="11.28515625" style="1" bestFit="1" customWidth="1"/>
    <col min="14652" max="14652" width="12.85546875" style="1" customWidth="1"/>
    <col min="14653" max="14653" width="9.5703125" style="1" bestFit="1" customWidth="1"/>
    <col min="14654" max="14848" width="9.140625" style="1"/>
    <col min="14849" max="14851" width="0" style="1" hidden="1" customWidth="1"/>
    <col min="14852" max="14852" width="8.85546875" style="1" customWidth="1"/>
    <col min="14853" max="14853" width="7.5703125" style="1" customWidth="1"/>
    <col min="14854" max="14854" width="55.5703125" style="1" customWidth="1"/>
    <col min="14855" max="14903" width="0" style="1" hidden="1" customWidth="1"/>
    <col min="14904" max="14904" width="16.85546875" style="1" customWidth="1"/>
    <col min="14905" max="14905" width="15.140625" style="1" customWidth="1"/>
    <col min="14906" max="14906" width="14" style="1" bestFit="1" customWidth="1"/>
    <col min="14907" max="14907" width="11.28515625" style="1" bestFit="1" customWidth="1"/>
    <col min="14908" max="14908" width="12.85546875" style="1" customWidth="1"/>
    <col min="14909" max="14909" width="9.5703125" style="1" bestFit="1" customWidth="1"/>
    <col min="14910" max="15104" width="9.140625" style="1"/>
    <col min="15105" max="15107" width="0" style="1" hidden="1" customWidth="1"/>
    <col min="15108" max="15108" width="8.85546875" style="1" customWidth="1"/>
    <col min="15109" max="15109" width="7.5703125" style="1" customWidth="1"/>
    <col min="15110" max="15110" width="55.5703125" style="1" customWidth="1"/>
    <col min="15111" max="15159" width="0" style="1" hidden="1" customWidth="1"/>
    <col min="15160" max="15160" width="16.85546875" style="1" customWidth="1"/>
    <col min="15161" max="15161" width="15.140625" style="1" customWidth="1"/>
    <col min="15162" max="15162" width="14" style="1" bestFit="1" customWidth="1"/>
    <col min="15163" max="15163" width="11.28515625" style="1" bestFit="1" customWidth="1"/>
    <col min="15164" max="15164" width="12.85546875" style="1" customWidth="1"/>
    <col min="15165" max="15165" width="9.5703125" style="1" bestFit="1" customWidth="1"/>
    <col min="15166" max="15360" width="9.140625" style="1"/>
    <col min="15361" max="15363" width="0" style="1" hidden="1" customWidth="1"/>
    <col min="15364" max="15364" width="8.85546875" style="1" customWidth="1"/>
    <col min="15365" max="15365" width="7.5703125" style="1" customWidth="1"/>
    <col min="15366" max="15366" width="55.5703125" style="1" customWidth="1"/>
    <col min="15367" max="15415" width="0" style="1" hidden="1" customWidth="1"/>
    <col min="15416" max="15416" width="16.85546875" style="1" customWidth="1"/>
    <col min="15417" max="15417" width="15.140625" style="1" customWidth="1"/>
    <col min="15418" max="15418" width="14" style="1" bestFit="1" customWidth="1"/>
    <col min="15419" max="15419" width="11.28515625" style="1" bestFit="1" customWidth="1"/>
    <col min="15420" max="15420" width="12.85546875" style="1" customWidth="1"/>
    <col min="15421" max="15421" width="9.5703125" style="1" bestFit="1" customWidth="1"/>
    <col min="15422" max="15616" width="9.140625" style="1"/>
    <col min="15617" max="15619" width="0" style="1" hidden="1" customWidth="1"/>
    <col min="15620" max="15620" width="8.85546875" style="1" customWidth="1"/>
    <col min="15621" max="15621" width="7.5703125" style="1" customWidth="1"/>
    <col min="15622" max="15622" width="55.5703125" style="1" customWidth="1"/>
    <col min="15623" max="15671" width="0" style="1" hidden="1" customWidth="1"/>
    <col min="15672" max="15672" width="16.85546875" style="1" customWidth="1"/>
    <col min="15673" max="15673" width="15.140625" style="1" customWidth="1"/>
    <col min="15674" max="15674" width="14" style="1" bestFit="1" customWidth="1"/>
    <col min="15675" max="15675" width="11.28515625" style="1" bestFit="1" customWidth="1"/>
    <col min="15676" max="15676" width="12.85546875" style="1" customWidth="1"/>
    <col min="15677" max="15677" width="9.5703125" style="1" bestFit="1" customWidth="1"/>
    <col min="15678" max="15872" width="9.140625" style="1"/>
    <col min="15873" max="15875" width="0" style="1" hidden="1" customWidth="1"/>
    <col min="15876" max="15876" width="8.85546875" style="1" customWidth="1"/>
    <col min="15877" max="15877" width="7.5703125" style="1" customWidth="1"/>
    <col min="15878" max="15878" width="55.5703125" style="1" customWidth="1"/>
    <col min="15879" max="15927" width="0" style="1" hidden="1" customWidth="1"/>
    <col min="15928" max="15928" width="16.85546875" style="1" customWidth="1"/>
    <col min="15929" max="15929" width="15.140625" style="1" customWidth="1"/>
    <col min="15930" max="15930" width="14" style="1" bestFit="1" customWidth="1"/>
    <col min="15931" max="15931" width="11.28515625" style="1" bestFit="1" customWidth="1"/>
    <col min="15932" max="15932" width="12.85546875" style="1" customWidth="1"/>
    <col min="15933" max="15933" width="9.5703125" style="1" bestFit="1" customWidth="1"/>
    <col min="15934" max="16128" width="9.140625" style="1"/>
    <col min="16129" max="16131" width="0" style="1" hidden="1" customWidth="1"/>
    <col min="16132" max="16132" width="8.85546875" style="1" customWidth="1"/>
    <col min="16133" max="16133" width="7.5703125" style="1" customWidth="1"/>
    <col min="16134" max="16134" width="55.5703125" style="1" customWidth="1"/>
    <col min="16135" max="16183" width="0" style="1" hidden="1" customWidth="1"/>
    <col min="16184" max="16184" width="16.85546875" style="1" customWidth="1"/>
    <col min="16185" max="16185" width="15.140625" style="1" customWidth="1"/>
    <col min="16186" max="16186" width="14" style="1" bestFit="1" customWidth="1"/>
    <col min="16187" max="16187" width="11.28515625" style="1" bestFit="1" customWidth="1"/>
    <col min="16188" max="16188" width="12.85546875" style="1" customWidth="1"/>
    <col min="16189" max="16189" width="9.5703125" style="1" bestFit="1" customWidth="1"/>
    <col min="16190" max="16384" width="9.140625" style="1"/>
  </cols>
  <sheetData>
    <row r="1" spans="4:57" x14ac:dyDescent="0.25">
      <c r="D1" s="54" t="s">
        <v>0</v>
      </c>
      <c r="E1" s="56" t="s">
        <v>1</v>
      </c>
      <c r="F1" s="50" t="s">
        <v>2</v>
      </c>
      <c r="G1" s="58" t="s">
        <v>3</v>
      </c>
      <c r="H1" s="59"/>
      <c r="I1" s="59"/>
      <c r="J1" s="59"/>
      <c r="K1" s="59"/>
      <c r="L1" s="59"/>
      <c r="M1" s="59"/>
      <c r="N1" s="59"/>
      <c r="O1" s="59"/>
      <c r="P1" s="59"/>
      <c r="Q1" s="59"/>
      <c r="R1" s="60"/>
      <c r="S1" s="64" t="s">
        <v>4</v>
      </c>
      <c r="T1" s="66"/>
      <c r="U1" s="66"/>
      <c r="V1" s="66"/>
      <c r="W1" s="66"/>
      <c r="X1" s="67"/>
      <c r="Y1" s="67"/>
      <c r="Z1" s="67"/>
      <c r="AA1" s="67"/>
      <c r="AB1" s="67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BD1" s="50" t="s">
        <v>5</v>
      </c>
    </row>
    <row r="2" spans="4:57" x14ac:dyDescent="0.25">
      <c r="D2" s="54"/>
      <c r="E2" s="56"/>
      <c r="F2" s="51"/>
      <c r="G2" s="61"/>
      <c r="H2" s="62"/>
      <c r="I2" s="62"/>
      <c r="J2" s="62"/>
      <c r="K2" s="62"/>
      <c r="L2" s="62"/>
      <c r="M2" s="62"/>
      <c r="N2" s="62"/>
      <c r="O2" s="62"/>
      <c r="P2" s="62"/>
      <c r="Q2" s="62"/>
      <c r="R2" s="63"/>
      <c r="S2" s="65"/>
      <c r="T2" s="66"/>
      <c r="U2" s="66"/>
      <c r="V2" s="66"/>
      <c r="W2" s="66"/>
      <c r="X2" s="67"/>
      <c r="Y2" s="67"/>
      <c r="Z2" s="67"/>
      <c r="AA2" s="67"/>
      <c r="AB2" s="67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BD2" s="51"/>
    </row>
    <row r="3" spans="4:57" x14ac:dyDescent="0.25">
      <c r="D3" s="54"/>
      <c r="E3" s="56"/>
      <c r="F3" s="51"/>
      <c r="G3" s="52" t="s">
        <v>6</v>
      </c>
      <c r="H3" s="52" t="s">
        <v>7</v>
      </c>
      <c r="I3" s="52" t="s">
        <v>8</v>
      </c>
      <c r="J3" s="52" t="s">
        <v>9</v>
      </c>
      <c r="K3" s="52" t="s">
        <v>10</v>
      </c>
      <c r="L3" s="52" t="s">
        <v>11</v>
      </c>
      <c r="M3" s="52" t="s">
        <v>12</v>
      </c>
      <c r="N3" s="52" t="s">
        <v>13</v>
      </c>
      <c r="O3" s="52" t="s">
        <v>14</v>
      </c>
      <c r="P3" s="52" t="s">
        <v>15</v>
      </c>
      <c r="Q3" s="52" t="s">
        <v>16</v>
      </c>
      <c r="R3" s="52" t="s">
        <v>17</v>
      </c>
      <c r="S3" s="65"/>
      <c r="T3" s="47" t="s">
        <v>18</v>
      </c>
      <c r="U3" s="48"/>
      <c r="V3" s="49"/>
      <c r="W3" s="47" t="s">
        <v>19</v>
      </c>
      <c r="X3" s="48"/>
      <c r="Y3" s="49"/>
      <c r="Z3" s="47" t="s">
        <v>20</v>
      </c>
      <c r="AA3" s="48"/>
      <c r="AB3" s="49"/>
      <c r="AC3" s="47" t="s">
        <v>21</v>
      </c>
      <c r="AD3" s="48"/>
      <c r="AE3" s="49"/>
      <c r="AF3" s="47" t="s">
        <v>22</v>
      </c>
      <c r="AG3" s="48"/>
      <c r="AH3" s="49"/>
      <c r="AI3" s="47" t="s">
        <v>23</v>
      </c>
      <c r="AJ3" s="48"/>
      <c r="AK3" s="49"/>
      <c r="AL3" s="47" t="s">
        <v>24</v>
      </c>
      <c r="AM3" s="48"/>
      <c r="AN3" s="49"/>
      <c r="AO3" s="47" t="s">
        <v>25</v>
      </c>
      <c r="AP3" s="48"/>
      <c r="AQ3" s="49"/>
      <c r="AR3" s="47" t="s">
        <v>26</v>
      </c>
      <c r="AS3" s="48"/>
      <c r="AT3" s="48"/>
      <c r="AU3" s="47" t="s">
        <v>27</v>
      </c>
      <c r="AV3" s="48"/>
      <c r="AW3" s="48"/>
      <c r="AX3" s="47" t="s">
        <v>28</v>
      </c>
      <c r="AY3" s="48"/>
      <c r="AZ3" s="48"/>
      <c r="BA3" s="47" t="s">
        <v>29</v>
      </c>
      <c r="BB3" s="48"/>
      <c r="BC3" s="48"/>
      <c r="BD3" s="51"/>
    </row>
    <row r="4" spans="4:57" ht="31.5" x14ac:dyDescent="0.25">
      <c r="D4" s="55"/>
      <c r="E4" s="57"/>
      <c r="F4" s="51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65"/>
      <c r="T4" s="7" t="s">
        <v>30</v>
      </c>
      <c r="U4" s="8" t="s">
        <v>31</v>
      </c>
      <c r="V4" s="9" t="s">
        <v>32</v>
      </c>
      <c r="W4" s="7" t="s">
        <v>30</v>
      </c>
      <c r="X4" s="8" t="s">
        <v>31</v>
      </c>
      <c r="Y4" s="9" t="s">
        <v>32</v>
      </c>
      <c r="Z4" s="7" t="s">
        <v>30</v>
      </c>
      <c r="AA4" s="8" t="s">
        <v>31</v>
      </c>
      <c r="AB4" s="9" t="s">
        <v>32</v>
      </c>
      <c r="AC4" s="7" t="s">
        <v>30</v>
      </c>
      <c r="AD4" s="8" t="s">
        <v>31</v>
      </c>
      <c r="AE4" s="9" t="s">
        <v>32</v>
      </c>
      <c r="AF4" s="7" t="s">
        <v>30</v>
      </c>
      <c r="AG4" s="8" t="s">
        <v>31</v>
      </c>
      <c r="AH4" s="9" t="s">
        <v>32</v>
      </c>
      <c r="AI4" s="7" t="s">
        <v>30</v>
      </c>
      <c r="AJ4" s="8" t="s">
        <v>31</v>
      </c>
      <c r="AK4" s="9" t="s">
        <v>32</v>
      </c>
      <c r="AL4" s="7" t="s">
        <v>30</v>
      </c>
      <c r="AM4" s="8" t="s">
        <v>31</v>
      </c>
      <c r="AN4" s="9" t="s">
        <v>32</v>
      </c>
      <c r="AO4" s="7" t="s">
        <v>30</v>
      </c>
      <c r="AP4" s="8" t="s">
        <v>31</v>
      </c>
      <c r="AQ4" s="9" t="s">
        <v>32</v>
      </c>
      <c r="AR4" s="7" t="s">
        <v>30</v>
      </c>
      <c r="AS4" s="8" t="s">
        <v>31</v>
      </c>
      <c r="AT4" s="10" t="s">
        <v>32</v>
      </c>
      <c r="AU4" s="7" t="s">
        <v>30</v>
      </c>
      <c r="AV4" s="8" t="s">
        <v>31</v>
      </c>
      <c r="AW4" s="10" t="s">
        <v>32</v>
      </c>
      <c r="AX4" s="7" t="s">
        <v>30</v>
      </c>
      <c r="AY4" s="8" t="s">
        <v>31</v>
      </c>
      <c r="AZ4" s="10" t="s">
        <v>32</v>
      </c>
      <c r="BA4" s="7" t="s">
        <v>30</v>
      </c>
      <c r="BB4" s="8" t="s">
        <v>31</v>
      </c>
      <c r="BC4" s="10" t="s">
        <v>32</v>
      </c>
      <c r="BD4" s="51"/>
    </row>
    <row r="5" spans="4:57" x14ac:dyDescent="0.25">
      <c r="D5" s="11"/>
      <c r="E5" s="12">
        <v>2240</v>
      </c>
      <c r="F5" s="13" t="s">
        <v>33</v>
      </c>
      <c r="G5" s="14"/>
      <c r="H5" s="14"/>
      <c r="I5" s="14"/>
      <c r="J5" s="14">
        <f>98640-27690</f>
        <v>70950</v>
      </c>
      <c r="K5" s="14"/>
      <c r="L5" s="14"/>
      <c r="M5" s="14"/>
      <c r="N5" s="14"/>
      <c r="O5" s="14"/>
      <c r="P5" s="14"/>
      <c r="Q5" s="14">
        <v>27690</v>
      </c>
      <c r="R5" s="14"/>
      <c r="S5" s="15">
        <f t="shared" ref="S5:S26" si="0">SUM(G5:R5)</f>
        <v>98640</v>
      </c>
      <c r="T5" s="16">
        <f t="shared" ref="T5:T26" si="1">G5</f>
        <v>0</v>
      </c>
      <c r="U5" s="17"/>
      <c r="V5" s="18">
        <f t="shared" ref="V5:V26" si="2">T5-U5</f>
        <v>0</v>
      </c>
      <c r="W5" s="16">
        <f t="shared" ref="W5:W26" si="3">H5+V5</f>
        <v>0</v>
      </c>
      <c r="X5" s="17"/>
      <c r="Y5" s="18">
        <f t="shared" ref="Y5:Y26" si="4">W5-X5</f>
        <v>0</v>
      </c>
      <c r="Z5" s="16">
        <f t="shared" ref="Z5:Z26" si="5">Y5+I5</f>
        <v>0</v>
      </c>
      <c r="AA5" s="17"/>
      <c r="AB5" s="18">
        <f t="shared" ref="AB5:AB26" si="6">Z5-AA5</f>
        <v>0</v>
      </c>
      <c r="AC5" s="16">
        <f t="shared" ref="AC5:AC26" si="7">AB5+J5</f>
        <v>70950</v>
      </c>
      <c r="AD5" s="17">
        <v>13750</v>
      </c>
      <c r="AE5" s="18">
        <f t="shared" ref="AE5:AE26" si="8">AC5-AD5</f>
        <v>57200</v>
      </c>
      <c r="AF5" s="16">
        <f t="shared" ref="AF5:AF26" si="9">AE5+K5</f>
        <v>57200</v>
      </c>
      <c r="AG5" s="17">
        <f>6120</f>
        <v>6120</v>
      </c>
      <c r="AH5" s="18">
        <f t="shared" ref="AH5:AH26" si="10">AF5-AG5</f>
        <v>51080</v>
      </c>
      <c r="AI5" s="16">
        <f t="shared" ref="AI5:AI26" si="11">AH5+L5</f>
        <v>51080</v>
      </c>
      <c r="AJ5" s="17">
        <f>4590</f>
        <v>4590</v>
      </c>
      <c r="AK5" s="18">
        <f t="shared" ref="AK5:AK26" si="12">AI5-AJ5</f>
        <v>46490</v>
      </c>
      <c r="AL5" s="16">
        <f t="shared" ref="AL5:AL26" si="13">AK5+M5</f>
        <v>46490</v>
      </c>
      <c r="AM5" s="17">
        <f>12240</f>
        <v>12240</v>
      </c>
      <c r="AN5" s="18">
        <f t="shared" ref="AN5:AN26" si="14">AL5-AM5</f>
        <v>34250</v>
      </c>
      <c r="AO5" s="16">
        <f t="shared" ref="AO5:AO26" si="15">AN5+N5</f>
        <v>34250</v>
      </c>
      <c r="AP5" s="17">
        <f>3750</f>
        <v>3750</v>
      </c>
      <c r="AQ5" s="18">
        <f t="shared" ref="AQ5:AQ26" si="16">AO5-AP5</f>
        <v>30500</v>
      </c>
      <c r="AR5" s="19">
        <f t="shared" ref="AR5:AR26" si="17">AQ5+O5</f>
        <v>30500</v>
      </c>
      <c r="AS5" s="17">
        <f>10000</f>
        <v>10000</v>
      </c>
      <c r="AT5" s="20">
        <f t="shared" ref="AT5:AT26" si="18">AR5-AS5</f>
        <v>20500</v>
      </c>
      <c r="AU5" s="19">
        <f t="shared" ref="AU5:AU26" si="19">AT5+P5</f>
        <v>20500</v>
      </c>
      <c r="AV5" s="17">
        <v>20250</v>
      </c>
      <c r="AW5" s="20">
        <f t="shared" ref="AW5:AW26" si="20">AU5-AV5</f>
        <v>250</v>
      </c>
      <c r="AX5" s="19">
        <f t="shared" ref="AX5:AX26" si="21">AW5+Q5</f>
        <v>27940</v>
      </c>
      <c r="AY5" s="17"/>
      <c r="AZ5" s="20">
        <f t="shared" ref="AZ5:AZ26" si="22">AX5-AY5</f>
        <v>27940</v>
      </c>
      <c r="BA5" s="19">
        <f t="shared" ref="BA5:BA26" si="23">AZ5+R5</f>
        <v>27940</v>
      </c>
      <c r="BB5" s="17"/>
      <c r="BC5" s="20">
        <f>BA5-BB5</f>
        <v>27940</v>
      </c>
      <c r="BD5" s="21">
        <f t="shared" ref="BD5:BD7" si="24">S5-BC5</f>
        <v>70700</v>
      </c>
      <c r="BE5" s="22"/>
    </row>
    <row r="6" spans="4:57" x14ac:dyDescent="0.25">
      <c r="D6" s="11"/>
      <c r="E6" s="12">
        <v>2240</v>
      </c>
      <c r="F6" s="23" t="s">
        <v>34</v>
      </c>
      <c r="G6" s="24"/>
      <c r="H6" s="24"/>
      <c r="I6" s="24"/>
      <c r="J6" s="24">
        <v>11866.5</v>
      </c>
      <c r="K6" s="24"/>
      <c r="L6" s="24">
        <f>30000-30000</f>
        <v>0</v>
      </c>
      <c r="M6" s="24">
        <f>30000-25605+20000</f>
        <v>24395</v>
      </c>
      <c r="N6" s="24">
        <f>31200-31200</f>
        <v>0</v>
      </c>
      <c r="O6" s="24">
        <v>2634.25</v>
      </c>
      <c r="P6" s="24">
        <f>86805-20000-2634.25-64170.75</f>
        <v>0</v>
      </c>
      <c r="Q6" s="24">
        <v>52304.25</v>
      </c>
      <c r="R6" s="24"/>
      <c r="S6" s="15">
        <f t="shared" si="0"/>
        <v>91200</v>
      </c>
      <c r="T6" s="16">
        <f t="shared" si="1"/>
        <v>0</v>
      </c>
      <c r="U6" s="17"/>
      <c r="V6" s="18">
        <f t="shared" si="2"/>
        <v>0</v>
      </c>
      <c r="W6" s="16">
        <f t="shared" si="3"/>
        <v>0</v>
      </c>
      <c r="X6" s="17"/>
      <c r="Y6" s="18">
        <f t="shared" si="4"/>
        <v>0</v>
      </c>
      <c r="Z6" s="16">
        <f t="shared" si="5"/>
        <v>0</v>
      </c>
      <c r="AA6" s="17"/>
      <c r="AB6" s="18">
        <f t="shared" si="6"/>
        <v>0</v>
      </c>
      <c r="AC6" s="16">
        <f t="shared" si="7"/>
        <v>11866.5</v>
      </c>
      <c r="AD6" s="17"/>
      <c r="AE6" s="18">
        <f t="shared" si="8"/>
        <v>11866.5</v>
      </c>
      <c r="AF6" s="16">
        <f t="shared" si="9"/>
        <v>11866.5</v>
      </c>
      <c r="AG6" s="17"/>
      <c r="AH6" s="18">
        <f t="shared" si="10"/>
        <v>11866.5</v>
      </c>
      <c r="AI6" s="16">
        <f t="shared" si="11"/>
        <v>11866.5</v>
      </c>
      <c r="AJ6" s="17"/>
      <c r="AK6" s="18">
        <f t="shared" si="12"/>
        <v>11866.5</v>
      </c>
      <c r="AL6" s="16">
        <f t="shared" si="13"/>
        <v>36261.5</v>
      </c>
      <c r="AM6" s="17">
        <f>4395</f>
        <v>4395</v>
      </c>
      <c r="AN6" s="18">
        <f t="shared" si="14"/>
        <v>31866.5</v>
      </c>
      <c r="AO6" s="16">
        <f t="shared" si="15"/>
        <v>31866.5</v>
      </c>
      <c r="AP6" s="17">
        <v>9888.75</v>
      </c>
      <c r="AQ6" s="18">
        <f t="shared" si="16"/>
        <v>21977.75</v>
      </c>
      <c r="AR6" s="19">
        <f t="shared" si="17"/>
        <v>24612</v>
      </c>
      <c r="AS6" s="17">
        <f>12745.5</f>
        <v>12745.5</v>
      </c>
      <c r="AT6" s="20">
        <f t="shared" si="18"/>
        <v>11866.5</v>
      </c>
      <c r="AU6" s="19">
        <f t="shared" si="19"/>
        <v>11866.5</v>
      </c>
      <c r="AV6" s="17">
        <v>11866.5</v>
      </c>
      <c r="AW6" s="20">
        <f t="shared" si="20"/>
        <v>0</v>
      </c>
      <c r="AX6" s="19">
        <f t="shared" si="21"/>
        <v>52304.25</v>
      </c>
      <c r="AY6" s="17"/>
      <c r="AZ6" s="20">
        <f t="shared" si="22"/>
        <v>52304.25</v>
      </c>
      <c r="BA6" s="19">
        <f t="shared" si="23"/>
        <v>52304.25</v>
      </c>
      <c r="BB6" s="17"/>
      <c r="BC6" s="20">
        <f t="shared" ref="BC6:BC26" si="25">BA6-BB6</f>
        <v>52304.25</v>
      </c>
      <c r="BD6" s="21">
        <f t="shared" si="24"/>
        <v>38895.75</v>
      </c>
      <c r="BE6" s="22"/>
    </row>
    <row r="7" spans="4:57" x14ac:dyDescent="0.25">
      <c r="D7" s="11"/>
      <c r="E7" s="12">
        <v>2240</v>
      </c>
      <c r="F7" s="25" t="s">
        <v>35</v>
      </c>
      <c r="G7" s="24"/>
      <c r="H7" s="24"/>
      <c r="I7" s="24">
        <f>300000-300000</f>
        <v>0</v>
      </c>
      <c r="J7" s="24">
        <f>300000-146422-82405-71173</f>
        <v>0</v>
      </c>
      <c r="K7" s="24">
        <f>24955-1593-23362+31522.46</f>
        <v>31522.46</v>
      </c>
      <c r="L7" s="24">
        <f>200000-143376.33-56623.67+13333.33+70000</f>
        <v>83333.330000000016</v>
      </c>
      <c r="M7" s="24">
        <f>200000+143376.33-113873.06-81975.47-53333.33+30000</f>
        <v>124194.46999999996</v>
      </c>
      <c r="N7" s="24">
        <f>146422-96000+40000+51880</f>
        <v>142302</v>
      </c>
      <c r="O7" s="24">
        <f>300000+72766-53333.33+94955.27</f>
        <v>414387.94</v>
      </c>
      <c r="P7" s="24">
        <f>57450+113873.06+257961.14-23761-405523.2</f>
        <v>0</v>
      </c>
      <c r="Q7" s="24">
        <f>200000+53333.33+23761+127165.47</f>
        <v>404259.80000000005</v>
      </c>
      <c r="R7" s="24"/>
      <c r="S7" s="15">
        <f t="shared" si="0"/>
        <v>1200000</v>
      </c>
      <c r="T7" s="16">
        <f t="shared" si="1"/>
        <v>0</v>
      </c>
      <c r="U7" s="17"/>
      <c r="V7" s="18">
        <f t="shared" si="2"/>
        <v>0</v>
      </c>
      <c r="W7" s="16">
        <f t="shared" si="3"/>
        <v>0</v>
      </c>
      <c r="X7" s="17"/>
      <c r="Y7" s="18">
        <f t="shared" si="4"/>
        <v>0</v>
      </c>
      <c r="Z7" s="16">
        <f t="shared" si="5"/>
        <v>0</v>
      </c>
      <c r="AA7" s="17"/>
      <c r="AB7" s="18">
        <f t="shared" si="6"/>
        <v>0</v>
      </c>
      <c r="AC7" s="16">
        <f t="shared" si="7"/>
        <v>0</v>
      </c>
      <c r="AD7" s="17"/>
      <c r="AE7" s="18">
        <f t="shared" si="8"/>
        <v>0</v>
      </c>
      <c r="AF7" s="16">
        <f t="shared" si="9"/>
        <v>31522.46</v>
      </c>
      <c r="AG7" s="17"/>
      <c r="AH7" s="18">
        <f t="shared" si="10"/>
        <v>31522.46</v>
      </c>
      <c r="AI7" s="16">
        <f t="shared" si="11"/>
        <v>114855.79000000001</v>
      </c>
      <c r="AJ7" s="17"/>
      <c r="AK7" s="18">
        <f t="shared" si="12"/>
        <v>114855.79000000001</v>
      </c>
      <c r="AL7" s="16">
        <f t="shared" si="13"/>
        <v>239050.25999999995</v>
      </c>
      <c r="AM7" s="17"/>
      <c r="AN7" s="18">
        <f t="shared" si="14"/>
        <v>239050.25999999995</v>
      </c>
      <c r="AO7" s="16">
        <f t="shared" si="15"/>
        <v>381352.25999999995</v>
      </c>
      <c r="AP7" s="17">
        <f>197949.8</f>
        <v>197949.8</v>
      </c>
      <c r="AQ7" s="18">
        <f t="shared" si="16"/>
        <v>183402.45999999996</v>
      </c>
      <c r="AR7" s="19">
        <f t="shared" si="17"/>
        <v>597790.39999999991</v>
      </c>
      <c r="AS7" s="17"/>
      <c r="AT7" s="20">
        <f t="shared" si="18"/>
        <v>597790.39999999991</v>
      </c>
      <c r="AU7" s="19">
        <f t="shared" si="19"/>
        <v>597790.39999999991</v>
      </c>
      <c r="AV7" s="17">
        <v>597790.4</v>
      </c>
      <c r="AW7" s="20">
        <f t="shared" si="20"/>
        <v>0</v>
      </c>
      <c r="AX7" s="19">
        <f t="shared" si="21"/>
        <v>404259.80000000005</v>
      </c>
      <c r="AY7" s="17"/>
      <c r="AZ7" s="20">
        <f t="shared" si="22"/>
        <v>404259.80000000005</v>
      </c>
      <c r="BA7" s="19">
        <f t="shared" si="23"/>
        <v>404259.80000000005</v>
      </c>
      <c r="BB7" s="17"/>
      <c r="BC7" s="20">
        <f t="shared" si="25"/>
        <v>404259.80000000005</v>
      </c>
      <c r="BD7" s="21">
        <f t="shared" si="24"/>
        <v>795740.2</v>
      </c>
      <c r="BE7" s="22"/>
    </row>
    <row r="8" spans="4:57" s="26" customFormat="1" ht="94.5" x14ac:dyDescent="0.25">
      <c r="D8" s="27"/>
      <c r="E8" s="27"/>
      <c r="F8" s="28" t="s">
        <v>36</v>
      </c>
      <c r="G8" s="29">
        <f t="shared" ref="G8:R8" si="26">SUM(G9:G14)</f>
        <v>0</v>
      </c>
      <c r="H8" s="29">
        <f t="shared" si="26"/>
        <v>100000</v>
      </c>
      <c r="I8" s="29">
        <f t="shared" si="26"/>
        <v>95456.36</v>
      </c>
      <c r="J8" s="29">
        <f t="shared" si="26"/>
        <v>162543.64000000001</v>
      </c>
      <c r="K8" s="29">
        <f t="shared" si="26"/>
        <v>147964.29999999999</v>
      </c>
      <c r="L8" s="29">
        <f t="shared" si="26"/>
        <v>124859.34999999999</v>
      </c>
      <c r="M8" s="29">
        <f t="shared" si="26"/>
        <v>280708.55999999994</v>
      </c>
      <c r="N8" s="29">
        <f t="shared" si="26"/>
        <v>242504.33000000002</v>
      </c>
      <c r="O8" s="29">
        <f t="shared" si="26"/>
        <v>221451.83999999997</v>
      </c>
      <c r="P8" s="29">
        <f t="shared" si="26"/>
        <v>159054.34</v>
      </c>
      <c r="Q8" s="29">
        <f t="shared" si="26"/>
        <v>80000</v>
      </c>
      <c r="R8" s="29">
        <f t="shared" si="26"/>
        <v>94277.28</v>
      </c>
      <c r="S8" s="30">
        <f t="shared" si="0"/>
        <v>1708820</v>
      </c>
      <c r="T8" s="31">
        <f t="shared" si="1"/>
        <v>0</v>
      </c>
      <c r="U8" s="32">
        <f>SUM(U9:U14)</f>
        <v>0</v>
      </c>
      <c r="V8" s="33">
        <f t="shared" si="2"/>
        <v>0</v>
      </c>
      <c r="W8" s="31">
        <f t="shared" si="3"/>
        <v>100000</v>
      </c>
      <c r="X8" s="32">
        <f>SUM(X9:X14)</f>
        <v>78527.47</v>
      </c>
      <c r="Y8" s="33">
        <f t="shared" si="4"/>
        <v>21472.53</v>
      </c>
      <c r="Z8" s="31">
        <f t="shared" si="5"/>
        <v>116928.89</v>
      </c>
      <c r="AA8" s="32">
        <f>SUM(AA9:AA14)</f>
        <v>116928.89000000001</v>
      </c>
      <c r="AB8" s="33">
        <f t="shared" si="6"/>
        <v>0</v>
      </c>
      <c r="AC8" s="31">
        <f t="shared" si="7"/>
        <v>162543.64000000001</v>
      </c>
      <c r="AD8" s="32">
        <f>SUM(AD9:AD14)</f>
        <v>86081.34</v>
      </c>
      <c r="AE8" s="33">
        <f t="shared" si="8"/>
        <v>76462.300000000017</v>
      </c>
      <c r="AF8" s="31">
        <f t="shared" si="9"/>
        <v>224426.6</v>
      </c>
      <c r="AG8" s="32">
        <f>SUM(AG9:AG14)</f>
        <v>212340.31</v>
      </c>
      <c r="AH8" s="33">
        <f t="shared" si="10"/>
        <v>12086.290000000008</v>
      </c>
      <c r="AI8" s="31">
        <f t="shared" si="11"/>
        <v>136945.64000000001</v>
      </c>
      <c r="AJ8" s="32">
        <f>SUM(AJ9:AJ14)</f>
        <v>121857.48</v>
      </c>
      <c r="AK8" s="33">
        <f t="shared" si="12"/>
        <v>15088.160000000018</v>
      </c>
      <c r="AL8" s="31">
        <f t="shared" si="13"/>
        <v>295796.71999999997</v>
      </c>
      <c r="AM8" s="32">
        <f>SUM(AM9:AM14)</f>
        <v>295796.71999999997</v>
      </c>
      <c r="AN8" s="33">
        <f t="shared" si="14"/>
        <v>0</v>
      </c>
      <c r="AO8" s="31">
        <f t="shared" si="15"/>
        <v>242504.33000000002</v>
      </c>
      <c r="AP8" s="32">
        <f>SUM(AP9:AP14)</f>
        <v>85938.21</v>
      </c>
      <c r="AQ8" s="33">
        <f t="shared" si="16"/>
        <v>156566.12</v>
      </c>
      <c r="AR8" s="34">
        <f t="shared" si="17"/>
        <v>378017.95999999996</v>
      </c>
      <c r="AS8" s="32">
        <f>SUM(AS9:AS14)</f>
        <v>361803.80000000005</v>
      </c>
      <c r="AT8" s="35">
        <f t="shared" si="18"/>
        <v>16214.159999999916</v>
      </c>
      <c r="AU8" s="34">
        <f t="shared" si="19"/>
        <v>175268.49999999991</v>
      </c>
      <c r="AV8" s="32">
        <f>SUM(AV9:AV14)</f>
        <v>96384.41</v>
      </c>
      <c r="AW8" s="35">
        <f t="shared" si="20"/>
        <v>78884.089999999909</v>
      </c>
      <c r="AX8" s="34">
        <f t="shared" si="21"/>
        <v>158884.08999999991</v>
      </c>
      <c r="AY8" s="32">
        <f>SUM(AY9:AY14)</f>
        <v>69756.290000000008</v>
      </c>
      <c r="AZ8" s="35">
        <f t="shared" si="22"/>
        <v>89127.799999999901</v>
      </c>
      <c r="BA8" s="34">
        <f t="shared" si="23"/>
        <v>183405.0799999999</v>
      </c>
      <c r="BB8" s="32">
        <f>SUM(BB9:BB14)</f>
        <v>0</v>
      </c>
      <c r="BC8" s="35">
        <f t="shared" si="25"/>
        <v>183405.0799999999</v>
      </c>
      <c r="BD8" s="36">
        <f>SUM(BD9:BD14)</f>
        <v>1549619.7899999996</v>
      </c>
      <c r="BE8" s="22"/>
    </row>
    <row r="9" spans="4:57" s="6" customFormat="1" ht="31.5" x14ac:dyDescent="0.25">
      <c r="D9" s="37"/>
      <c r="E9" s="37">
        <v>2610</v>
      </c>
      <c r="F9" s="37" t="s">
        <v>37</v>
      </c>
      <c r="G9" s="24"/>
      <c r="H9" s="24">
        <v>100000</v>
      </c>
      <c r="I9" s="24">
        <f>80000+15456.36</f>
        <v>95456.36</v>
      </c>
      <c r="J9" s="24">
        <f>80000-15456.36+21537.7</f>
        <v>86081.34</v>
      </c>
      <c r="K9" s="24">
        <f>70000-21537.7+19653.19+12086.29</f>
        <v>80201.78</v>
      </c>
      <c r="L9" s="24">
        <f>60000-19653.19+31269.78+3001.87</f>
        <v>74618.459999999992</v>
      </c>
      <c r="M9" s="24">
        <f>60000+4729.4-10159.14</f>
        <v>54570.26</v>
      </c>
      <c r="N9" s="24">
        <f>60000-31269.78-19817.56+31269.78+29846.29+30404.25</f>
        <v>100432.98000000001</v>
      </c>
      <c r="O9" s="24">
        <f>70000-29846.29</f>
        <v>40153.71</v>
      </c>
      <c r="P9" s="24">
        <f>76180+10159.14-31269.78-30404.25+14277.28+33503.7</f>
        <v>72446.09</v>
      </c>
      <c r="Q9" s="24">
        <f>80000-33503.7</f>
        <v>46496.3</v>
      </c>
      <c r="R9" s="24">
        <f>80000-14277.28</f>
        <v>65722.720000000001</v>
      </c>
      <c r="S9" s="15">
        <f t="shared" si="0"/>
        <v>816179.99999999988</v>
      </c>
      <c r="T9" s="16">
        <f t="shared" si="1"/>
        <v>0</v>
      </c>
      <c r="U9" s="17"/>
      <c r="V9" s="18">
        <f t="shared" si="2"/>
        <v>0</v>
      </c>
      <c r="W9" s="16">
        <f t="shared" si="3"/>
        <v>100000</v>
      </c>
      <c r="X9" s="17">
        <v>78527.47</v>
      </c>
      <c r="Y9" s="18">
        <f t="shared" si="4"/>
        <v>21472.53</v>
      </c>
      <c r="Z9" s="16">
        <f t="shared" si="5"/>
        <v>116928.89</v>
      </c>
      <c r="AA9" s="17">
        <f>76928.38+40000.51</f>
        <v>116928.89000000001</v>
      </c>
      <c r="AB9" s="18">
        <f t="shared" si="6"/>
        <v>0</v>
      </c>
      <c r="AC9" s="16">
        <f t="shared" si="7"/>
        <v>86081.34</v>
      </c>
      <c r="AD9" s="17">
        <f>43944.11+42137.23</f>
        <v>86081.34</v>
      </c>
      <c r="AE9" s="18">
        <f t="shared" si="8"/>
        <v>0</v>
      </c>
      <c r="AF9" s="16">
        <f t="shared" si="9"/>
        <v>80201.78</v>
      </c>
      <c r="AG9" s="17">
        <f>34961.89+33153.6</f>
        <v>68115.489999999991</v>
      </c>
      <c r="AH9" s="18">
        <f t="shared" si="10"/>
        <v>12086.290000000008</v>
      </c>
      <c r="AI9" s="16">
        <f t="shared" si="11"/>
        <v>86704.75</v>
      </c>
      <c r="AJ9" s="17">
        <f>37142.15+34474.44</f>
        <v>71616.59</v>
      </c>
      <c r="AK9" s="18">
        <f t="shared" si="12"/>
        <v>15088.160000000003</v>
      </c>
      <c r="AL9" s="16">
        <f t="shared" si="13"/>
        <v>69658.420000000013</v>
      </c>
      <c r="AM9" s="17">
        <f>34260.32+35398.1</f>
        <v>69658.42</v>
      </c>
      <c r="AN9" s="18">
        <f t="shared" si="14"/>
        <v>0</v>
      </c>
      <c r="AO9" s="16">
        <f t="shared" si="15"/>
        <v>100432.98000000001</v>
      </c>
      <c r="AP9" s="17">
        <f>35714+34314.73</f>
        <v>70028.73000000001</v>
      </c>
      <c r="AQ9" s="18">
        <f t="shared" si="16"/>
        <v>30404.25</v>
      </c>
      <c r="AR9" s="19">
        <f t="shared" si="17"/>
        <v>70557.959999999992</v>
      </c>
      <c r="AS9" s="17">
        <f>38207.53+32350.43</f>
        <v>70557.959999999992</v>
      </c>
      <c r="AT9" s="20">
        <f t="shared" si="18"/>
        <v>0</v>
      </c>
      <c r="AU9" s="19">
        <f t="shared" si="19"/>
        <v>72446.09</v>
      </c>
      <c r="AV9" s="17">
        <f>38942.39+33503.7</f>
        <v>72446.09</v>
      </c>
      <c r="AW9" s="20">
        <f t="shared" si="20"/>
        <v>0</v>
      </c>
      <c r="AX9" s="19">
        <f t="shared" si="21"/>
        <v>46496.3</v>
      </c>
      <c r="AY9" s="17">
        <v>35412.31</v>
      </c>
      <c r="AZ9" s="20">
        <f t="shared" si="22"/>
        <v>11083.990000000005</v>
      </c>
      <c r="BA9" s="19">
        <f t="shared" si="23"/>
        <v>76806.710000000006</v>
      </c>
      <c r="BB9" s="17"/>
      <c r="BC9" s="20">
        <f t="shared" si="25"/>
        <v>76806.710000000006</v>
      </c>
      <c r="BD9" s="21">
        <f t="shared" ref="BD9:BD13" si="27">S9-BC9</f>
        <v>739373.28999999992</v>
      </c>
      <c r="BE9" s="22"/>
    </row>
    <row r="10" spans="4:57" s="6" customFormat="1" ht="31.5" x14ac:dyDescent="0.25">
      <c r="D10" s="37"/>
      <c r="E10" s="37">
        <v>2610</v>
      </c>
      <c r="F10" s="37" t="s">
        <v>38</v>
      </c>
      <c r="G10" s="24"/>
      <c r="H10" s="24"/>
      <c r="I10" s="24"/>
      <c r="J10" s="24">
        <f>76462.3</f>
        <v>76462.3</v>
      </c>
      <c r="K10" s="24">
        <f>17162.97</f>
        <v>17162.97</v>
      </c>
      <c r="L10" s="24">
        <f>110000-93625.27-16374.73</f>
        <v>0</v>
      </c>
      <c r="M10" s="24">
        <f>110000-13005.36</f>
        <v>96994.64</v>
      </c>
      <c r="N10" s="24">
        <f>110000-29846.29+29380.08</f>
        <v>109533.79</v>
      </c>
      <c r="O10" s="24">
        <f>53920+29846.29</f>
        <v>83766.290000000008</v>
      </c>
      <c r="P10" s="24">
        <f>29380.09-29380.08</f>
        <v>9.9999999983992893E-3</v>
      </c>
      <c r="Q10" s="24"/>
      <c r="R10" s="24"/>
      <c r="S10" s="15">
        <f t="shared" si="0"/>
        <v>383920</v>
      </c>
      <c r="T10" s="16">
        <f t="shared" si="1"/>
        <v>0</v>
      </c>
      <c r="U10" s="17"/>
      <c r="V10" s="18">
        <f t="shared" si="2"/>
        <v>0</v>
      </c>
      <c r="W10" s="16">
        <f t="shared" si="3"/>
        <v>0</v>
      </c>
      <c r="X10" s="17"/>
      <c r="Y10" s="18">
        <f t="shared" si="4"/>
        <v>0</v>
      </c>
      <c r="Z10" s="16">
        <f t="shared" si="5"/>
        <v>0</v>
      </c>
      <c r="AA10" s="17"/>
      <c r="AB10" s="18">
        <f t="shared" si="6"/>
        <v>0</v>
      </c>
      <c r="AC10" s="16">
        <f t="shared" si="7"/>
        <v>76462.3</v>
      </c>
      <c r="AD10" s="17"/>
      <c r="AE10" s="18">
        <f t="shared" si="8"/>
        <v>76462.3</v>
      </c>
      <c r="AF10" s="16">
        <f t="shared" si="9"/>
        <v>93625.27</v>
      </c>
      <c r="AG10" s="17">
        <f>93625.27</f>
        <v>93625.27</v>
      </c>
      <c r="AH10" s="18">
        <f t="shared" si="10"/>
        <v>0</v>
      </c>
      <c r="AI10" s="16">
        <f t="shared" si="11"/>
        <v>0</v>
      </c>
      <c r="AJ10" s="17"/>
      <c r="AK10" s="18">
        <f t="shared" si="12"/>
        <v>0</v>
      </c>
      <c r="AL10" s="16">
        <f t="shared" si="13"/>
        <v>96994.64</v>
      </c>
      <c r="AM10" s="17">
        <v>96994.64</v>
      </c>
      <c r="AN10" s="18">
        <f t="shared" si="14"/>
        <v>0</v>
      </c>
      <c r="AO10" s="16">
        <f t="shared" si="15"/>
        <v>109533.79</v>
      </c>
      <c r="AP10" s="17"/>
      <c r="AQ10" s="18">
        <f t="shared" si="16"/>
        <v>109533.79</v>
      </c>
      <c r="AR10" s="19">
        <f t="shared" si="17"/>
        <v>193300.08000000002</v>
      </c>
      <c r="AS10" s="17">
        <f>96994.64+96305.44</f>
        <v>193300.08000000002</v>
      </c>
      <c r="AT10" s="20">
        <f t="shared" si="18"/>
        <v>0</v>
      </c>
      <c r="AU10" s="19">
        <f t="shared" si="19"/>
        <v>9.9999999983992893E-3</v>
      </c>
      <c r="AV10" s="17"/>
      <c r="AW10" s="20">
        <f t="shared" si="20"/>
        <v>9.9999999983992893E-3</v>
      </c>
      <c r="AX10" s="19">
        <f t="shared" si="21"/>
        <v>9.9999999983992893E-3</v>
      </c>
      <c r="AY10" s="17"/>
      <c r="AZ10" s="20">
        <f t="shared" si="22"/>
        <v>9.9999999983992893E-3</v>
      </c>
      <c r="BA10" s="19">
        <f t="shared" si="23"/>
        <v>9.9999999983992893E-3</v>
      </c>
      <c r="BB10" s="17"/>
      <c r="BC10" s="20">
        <f t="shared" si="25"/>
        <v>9.9999999983992893E-3</v>
      </c>
      <c r="BD10" s="21">
        <f t="shared" si="27"/>
        <v>383919.99</v>
      </c>
      <c r="BE10" s="22"/>
    </row>
    <row r="11" spans="4:57" s="6" customFormat="1" ht="31.5" x14ac:dyDescent="0.25">
      <c r="D11" s="37"/>
      <c r="E11" s="37">
        <v>2610</v>
      </c>
      <c r="F11" s="37" t="s">
        <v>39</v>
      </c>
      <c r="G11" s="24"/>
      <c r="H11" s="24"/>
      <c r="I11" s="24"/>
      <c r="J11" s="24"/>
      <c r="K11" s="24"/>
      <c r="L11" s="24"/>
      <c r="M11" s="24">
        <v>113873.06</v>
      </c>
      <c r="N11" s="24"/>
      <c r="O11" s="24"/>
      <c r="P11" s="24">
        <f>200000-113873.06-33503.7</f>
        <v>52623.240000000005</v>
      </c>
      <c r="Q11" s="24">
        <v>33503.699999999997</v>
      </c>
      <c r="R11" s="24"/>
      <c r="S11" s="15">
        <f t="shared" si="0"/>
        <v>200000</v>
      </c>
      <c r="T11" s="16">
        <f t="shared" si="1"/>
        <v>0</v>
      </c>
      <c r="U11" s="17"/>
      <c r="V11" s="18">
        <f t="shared" si="2"/>
        <v>0</v>
      </c>
      <c r="W11" s="16">
        <f t="shared" si="3"/>
        <v>0</v>
      </c>
      <c r="X11" s="17"/>
      <c r="Y11" s="18">
        <f t="shared" si="4"/>
        <v>0</v>
      </c>
      <c r="Z11" s="16">
        <f t="shared" si="5"/>
        <v>0</v>
      </c>
      <c r="AA11" s="17"/>
      <c r="AB11" s="18">
        <f t="shared" si="6"/>
        <v>0</v>
      </c>
      <c r="AC11" s="16">
        <f t="shared" si="7"/>
        <v>0</v>
      </c>
      <c r="AD11" s="17"/>
      <c r="AE11" s="18">
        <f t="shared" si="8"/>
        <v>0</v>
      </c>
      <c r="AF11" s="16">
        <f t="shared" si="9"/>
        <v>0</v>
      </c>
      <c r="AG11" s="17"/>
      <c r="AH11" s="18">
        <f t="shared" si="10"/>
        <v>0</v>
      </c>
      <c r="AI11" s="16">
        <f t="shared" si="11"/>
        <v>0</v>
      </c>
      <c r="AJ11" s="17"/>
      <c r="AK11" s="18">
        <f t="shared" si="12"/>
        <v>0</v>
      </c>
      <c r="AL11" s="16">
        <f t="shared" si="13"/>
        <v>113873.06</v>
      </c>
      <c r="AM11" s="17">
        <f>113873.06</f>
        <v>113873.06</v>
      </c>
      <c r="AN11" s="18">
        <f t="shared" si="14"/>
        <v>0</v>
      </c>
      <c r="AO11" s="16">
        <f t="shared" si="15"/>
        <v>0</v>
      </c>
      <c r="AP11" s="17"/>
      <c r="AQ11" s="18">
        <f t="shared" si="16"/>
        <v>0</v>
      </c>
      <c r="AR11" s="19">
        <f t="shared" si="17"/>
        <v>0</v>
      </c>
      <c r="AS11" s="17"/>
      <c r="AT11" s="20">
        <f t="shared" si="18"/>
        <v>0</v>
      </c>
      <c r="AU11" s="19">
        <f t="shared" si="19"/>
        <v>52623.240000000005</v>
      </c>
      <c r="AV11" s="17">
        <v>23938.32</v>
      </c>
      <c r="AW11" s="20">
        <f t="shared" si="20"/>
        <v>28684.920000000006</v>
      </c>
      <c r="AX11" s="19">
        <f t="shared" si="21"/>
        <v>62188.62</v>
      </c>
      <c r="AY11" s="17"/>
      <c r="AZ11" s="20">
        <f t="shared" si="22"/>
        <v>62188.62</v>
      </c>
      <c r="BA11" s="19">
        <f t="shared" si="23"/>
        <v>62188.62</v>
      </c>
      <c r="BB11" s="17"/>
      <c r="BC11" s="20">
        <f t="shared" si="25"/>
        <v>62188.62</v>
      </c>
      <c r="BD11" s="21">
        <f t="shared" si="27"/>
        <v>137811.38</v>
      </c>
      <c r="BE11" s="22"/>
    </row>
    <row r="12" spans="4:57" s="6" customFormat="1" ht="31.5" x14ac:dyDescent="0.25">
      <c r="D12" s="37"/>
      <c r="E12" s="37">
        <v>2610</v>
      </c>
      <c r="F12" s="37" t="s">
        <v>40</v>
      </c>
      <c r="G12" s="24"/>
      <c r="H12" s="24"/>
      <c r="I12" s="24"/>
      <c r="J12" s="24"/>
      <c r="K12" s="24">
        <f>60000-19653.19-13589.57-12086.29</f>
        <v>14670.949999999997</v>
      </c>
      <c r="L12" s="24">
        <f>20000+19653.19+13589.57-3001.87</f>
        <v>50240.89</v>
      </c>
      <c r="M12" s="24">
        <f>20000-4729.4</f>
        <v>15270.6</v>
      </c>
      <c r="N12" s="24">
        <f>12720+19817.56</f>
        <v>32537.56</v>
      </c>
      <c r="O12" s="24"/>
      <c r="P12" s="24"/>
      <c r="Q12" s="24"/>
      <c r="R12" s="24"/>
      <c r="S12" s="15">
        <f t="shared" si="0"/>
        <v>112720</v>
      </c>
      <c r="T12" s="16">
        <f t="shared" si="1"/>
        <v>0</v>
      </c>
      <c r="U12" s="17"/>
      <c r="V12" s="18">
        <f t="shared" si="2"/>
        <v>0</v>
      </c>
      <c r="W12" s="16">
        <f t="shared" si="3"/>
        <v>0</v>
      </c>
      <c r="X12" s="17"/>
      <c r="Y12" s="18">
        <f t="shared" si="4"/>
        <v>0</v>
      </c>
      <c r="Z12" s="16">
        <f t="shared" si="5"/>
        <v>0</v>
      </c>
      <c r="AA12" s="17"/>
      <c r="AB12" s="18">
        <f t="shared" si="6"/>
        <v>0</v>
      </c>
      <c r="AC12" s="16">
        <f t="shared" si="7"/>
        <v>0</v>
      </c>
      <c r="AD12" s="17"/>
      <c r="AE12" s="18">
        <f t="shared" si="8"/>
        <v>0</v>
      </c>
      <c r="AF12" s="16">
        <f t="shared" si="9"/>
        <v>14670.949999999997</v>
      </c>
      <c r="AG12" s="17">
        <f>7349.47+7321.48</f>
        <v>14670.95</v>
      </c>
      <c r="AH12" s="18">
        <f t="shared" si="10"/>
        <v>0</v>
      </c>
      <c r="AI12" s="16">
        <f t="shared" si="11"/>
        <v>50240.89</v>
      </c>
      <c r="AJ12" s="17">
        <f>42921.89+7319</f>
        <v>50240.89</v>
      </c>
      <c r="AK12" s="18">
        <f t="shared" si="12"/>
        <v>0</v>
      </c>
      <c r="AL12" s="16">
        <f t="shared" si="13"/>
        <v>15270.6</v>
      </c>
      <c r="AM12" s="17">
        <f>7317.43+7953.17</f>
        <v>15270.6</v>
      </c>
      <c r="AN12" s="18">
        <f t="shared" si="14"/>
        <v>0</v>
      </c>
      <c r="AO12" s="16">
        <f t="shared" si="15"/>
        <v>32537.56</v>
      </c>
      <c r="AP12" s="17">
        <f>7954.74+7954.74</f>
        <v>15909.48</v>
      </c>
      <c r="AQ12" s="18">
        <f t="shared" si="16"/>
        <v>16628.080000000002</v>
      </c>
      <c r="AR12" s="19">
        <f t="shared" si="17"/>
        <v>16628.080000000002</v>
      </c>
      <c r="AS12" s="17">
        <f>8113.68+8514.4</f>
        <v>16628.080000000002</v>
      </c>
      <c r="AT12" s="20">
        <f t="shared" si="18"/>
        <v>0</v>
      </c>
      <c r="AU12" s="19">
        <f t="shared" si="19"/>
        <v>0</v>
      </c>
      <c r="AV12" s="17"/>
      <c r="AW12" s="20">
        <f t="shared" si="20"/>
        <v>0</v>
      </c>
      <c r="AX12" s="19">
        <f t="shared" si="21"/>
        <v>0</v>
      </c>
      <c r="AY12" s="17"/>
      <c r="AZ12" s="20">
        <f t="shared" si="22"/>
        <v>0</v>
      </c>
      <c r="BA12" s="19">
        <f t="shared" si="23"/>
        <v>0</v>
      </c>
      <c r="BB12" s="17"/>
      <c r="BC12" s="20">
        <f t="shared" si="25"/>
        <v>0</v>
      </c>
      <c r="BD12" s="21">
        <f t="shared" si="27"/>
        <v>112720</v>
      </c>
      <c r="BE12" s="22"/>
    </row>
    <row r="13" spans="4:57" s="6" customFormat="1" x14ac:dyDescent="0.25">
      <c r="D13" s="37"/>
      <c r="E13" s="37">
        <v>2610</v>
      </c>
      <c r="F13" s="37" t="s">
        <v>41</v>
      </c>
      <c r="G13" s="24"/>
      <c r="H13" s="24"/>
      <c r="I13" s="24"/>
      <c r="J13" s="24">
        <f>98000-21537.7-76462.3</f>
        <v>0</v>
      </c>
      <c r="K13" s="24">
        <f>21537.7-3573.4</f>
        <v>17964.3</v>
      </c>
      <c r="L13" s="24">
        <f>80035.7-31269.78-48765.92</f>
        <v>0</v>
      </c>
      <c r="M13" s="24"/>
      <c r="N13" s="24">
        <f>31269.78-31269.78</f>
        <v>0</v>
      </c>
      <c r="O13" s="24">
        <v>48765.919999999998</v>
      </c>
      <c r="P13" s="24">
        <f>31269.78-14277.28</f>
        <v>16992.5</v>
      </c>
      <c r="Q13" s="24"/>
      <c r="R13" s="24">
        <v>14277.28</v>
      </c>
      <c r="S13" s="15">
        <f t="shared" si="0"/>
        <v>98000</v>
      </c>
      <c r="T13" s="16">
        <f t="shared" si="1"/>
        <v>0</v>
      </c>
      <c r="U13" s="17"/>
      <c r="V13" s="18">
        <f t="shared" si="2"/>
        <v>0</v>
      </c>
      <c r="W13" s="16">
        <f t="shared" si="3"/>
        <v>0</v>
      </c>
      <c r="X13" s="17"/>
      <c r="Y13" s="18">
        <f t="shared" si="4"/>
        <v>0</v>
      </c>
      <c r="Z13" s="16">
        <f t="shared" si="5"/>
        <v>0</v>
      </c>
      <c r="AA13" s="17"/>
      <c r="AB13" s="18">
        <f t="shared" si="6"/>
        <v>0</v>
      </c>
      <c r="AC13" s="16">
        <f t="shared" si="7"/>
        <v>0</v>
      </c>
      <c r="AD13" s="17"/>
      <c r="AE13" s="18">
        <f t="shared" si="8"/>
        <v>0</v>
      </c>
      <c r="AF13" s="16">
        <f t="shared" si="9"/>
        <v>17964.3</v>
      </c>
      <c r="AG13" s="17">
        <f>17964.3</f>
        <v>17964.3</v>
      </c>
      <c r="AH13" s="18">
        <f t="shared" si="10"/>
        <v>0</v>
      </c>
      <c r="AI13" s="16">
        <f t="shared" si="11"/>
        <v>0</v>
      </c>
      <c r="AJ13" s="17"/>
      <c r="AK13" s="18">
        <f t="shared" si="12"/>
        <v>0</v>
      </c>
      <c r="AL13" s="16">
        <f t="shared" si="13"/>
        <v>0</v>
      </c>
      <c r="AM13" s="17"/>
      <c r="AN13" s="18">
        <f t="shared" si="14"/>
        <v>0</v>
      </c>
      <c r="AO13" s="16">
        <f t="shared" si="15"/>
        <v>0</v>
      </c>
      <c r="AP13" s="17"/>
      <c r="AQ13" s="18">
        <f t="shared" si="16"/>
        <v>0</v>
      </c>
      <c r="AR13" s="19">
        <f t="shared" si="17"/>
        <v>48765.919999999998</v>
      </c>
      <c r="AS13" s="17">
        <f>40658.84</f>
        <v>40658.839999999997</v>
      </c>
      <c r="AT13" s="20">
        <f t="shared" si="18"/>
        <v>8107.0800000000017</v>
      </c>
      <c r="AU13" s="19">
        <f t="shared" si="19"/>
        <v>25099.58</v>
      </c>
      <c r="AV13" s="17"/>
      <c r="AW13" s="20">
        <f t="shared" si="20"/>
        <v>25099.58</v>
      </c>
      <c r="AX13" s="19">
        <f t="shared" si="21"/>
        <v>25099.58</v>
      </c>
      <c r="AY13" s="17">
        <v>17171.990000000002</v>
      </c>
      <c r="AZ13" s="20">
        <f t="shared" si="22"/>
        <v>7927.59</v>
      </c>
      <c r="BA13" s="19">
        <f t="shared" si="23"/>
        <v>22204.870000000003</v>
      </c>
      <c r="BB13" s="17"/>
      <c r="BC13" s="20">
        <f t="shared" si="25"/>
        <v>22204.870000000003</v>
      </c>
      <c r="BD13" s="21">
        <f t="shared" si="27"/>
        <v>75795.13</v>
      </c>
      <c r="BE13" s="22"/>
    </row>
    <row r="14" spans="4:57" s="6" customFormat="1" ht="47.25" x14ac:dyDescent="0.25">
      <c r="D14" s="37"/>
      <c r="E14" s="37">
        <v>2610</v>
      </c>
      <c r="F14" s="37" t="s">
        <v>42</v>
      </c>
      <c r="G14" s="24"/>
      <c r="H14" s="24"/>
      <c r="I14" s="24"/>
      <c r="J14" s="24">
        <f>98000-21537.7-76462.3</f>
        <v>0</v>
      </c>
      <c r="K14" s="24">
        <f>21537.7-3573.4</f>
        <v>17964.3</v>
      </c>
      <c r="L14" s="24">
        <f>80035.7-31269.78-48765.92</f>
        <v>0</v>
      </c>
      <c r="M14" s="24"/>
      <c r="N14" s="24">
        <f>31269.78-31269.78</f>
        <v>0</v>
      </c>
      <c r="O14" s="24">
        <v>48765.919999999998</v>
      </c>
      <c r="P14" s="24">
        <f>31269.78-14277.28</f>
        <v>16992.5</v>
      </c>
      <c r="Q14" s="24"/>
      <c r="R14" s="24">
        <v>14277.28</v>
      </c>
      <c r="S14" s="15">
        <f t="shared" si="0"/>
        <v>98000</v>
      </c>
      <c r="T14" s="16">
        <f t="shared" si="1"/>
        <v>0</v>
      </c>
      <c r="U14" s="17"/>
      <c r="V14" s="18">
        <f t="shared" si="2"/>
        <v>0</v>
      </c>
      <c r="W14" s="16">
        <f t="shared" si="3"/>
        <v>0</v>
      </c>
      <c r="X14" s="17"/>
      <c r="Y14" s="18">
        <f t="shared" si="4"/>
        <v>0</v>
      </c>
      <c r="Z14" s="16">
        <f t="shared" si="5"/>
        <v>0</v>
      </c>
      <c r="AA14" s="17"/>
      <c r="AB14" s="18">
        <f t="shared" si="6"/>
        <v>0</v>
      </c>
      <c r="AC14" s="16">
        <f t="shared" si="7"/>
        <v>0</v>
      </c>
      <c r="AD14" s="17"/>
      <c r="AE14" s="18">
        <f t="shared" si="8"/>
        <v>0</v>
      </c>
      <c r="AF14" s="16">
        <f t="shared" si="9"/>
        <v>17964.3</v>
      </c>
      <c r="AG14" s="17">
        <f>17964.3</f>
        <v>17964.3</v>
      </c>
      <c r="AH14" s="18">
        <f t="shared" si="10"/>
        <v>0</v>
      </c>
      <c r="AI14" s="16">
        <f t="shared" si="11"/>
        <v>0</v>
      </c>
      <c r="AJ14" s="17"/>
      <c r="AK14" s="18">
        <f t="shared" si="12"/>
        <v>0</v>
      </c>
      <c r="AL14" s="16">
        <f t="shared" si="13"/>
        <v>0</v>
      </c>
      <c r="AM14" s="17"/>
      <c r="AN14" s="18">
        <f t="shared" si="14"/>
        <v>0</v>
      </c>
      <c r="AO14" s="16">
        <f t="shared" si="15"/>
        <v>0</v>
      </c>
      <c r="AP14" s="17"/>
      <c r="AQ14" s="18">
        <f t="shared" si="16"/>
        <v>0</v>
      </c>
      <c r="AR14" s="19">
        <f t="shared" si="17"/>
        <v>48765.919999999998</v>
      </c>
      <c r="AS14" s="17">
        <f>40658.84</f>
        <v>40658.839999999997</v>
      </c>
      <c r="AT14" s="20">
        <f t="shared" si="18"/>
        <v>8107.0800000000017</v>
      </c>
      <c r="AU14" s="19">
        <f t="shared" si="19"/>
        <v>25099.58</v>
      </c>
      <c r="AV14" s="17"/>
      <c r="AW14" s="20">
        <f t="shared" si="20"/>
        <v>25099.58</v>
      </c>
      <c r="AX14" s="19">
        <f t="shared" si="21"/>
        <v>25099.58</v>
      </c>
      <c r="AY14" s="17">
        <v>17171.990000000002</v>
      </c>
      <c r="AZ14" s="20">
        <f t="shared" si="22"/>
        <v>7927.59</v>
      </c>
      <c r="BA14" s="19">
        <f t="shared" si="23"/>
        <v>22204.870000000003</v>
      </c>
      <c r="BB14" s="17"/>
      <c r="BC14" s="20">
        <f t="shared" si="25"/>
        <v>22204.870000000003</v>
      </c>
      <c r="BD14" s="21">
        <v>100000</v>
      </c>
      <c r="BE14" s="22"/>
    </row>
    <row r="15" spans="4:57" s="26" customFormat="1" ht="94.5" x14ac:dyDescent="0.25">
      <c r="D15" s="27"/>
      <c r="E15" s="27"/>
      <c r="F15" s="28" t="s">
        <v>43</v>
      </c>
      <c r="G15" s="38">
        <f>SUM(G16:G25)</f>
        <v>800000</v>
      </c>
      <c r="H15" s="38">
        <f t="shared" ref="H15:R15" si="28">SUM(H16:H25)</f>
        <v>890000</v>
      </c>
      <c r="I15" s="38">
        <f t="shared" si="28"/>
        <v>1443954.52</v>
      </c>
      <c r="J15" s="38">
        <f t="shared" si="28"/>
        <v>1600855.98</v>
      </c>
      <c r="K15" s="38">
        <f t="shared" si="28"/>
        <v>1824236.5000000002</v>
      </c>
      <c r="L15" s="38">
        <f t="shared" si="28"/>
        <v>2643353.36</v>
      </c>
      <c r="M15" s="38">
        <f t="shared" si="28"/>
        <v>1758908.1599999997</v>
      </c>
      <c r="N15" s="38">
        <f t="shared" si="28"/>
        <v>1513132.4300000002</v>
      </c>
      <c r="O15" s="38">
        <f t="shared" si="28"/>
        <v>1272097.1599999999</v>
      </c>
      <c r="P15" s="38">
        <f t="shared" si="28"/>
        <v>1987281.1799999997</v>
      </c>
      <c r="Q15" s="38">
        <f t="shared" si="28"/>
        <v>767812.40999999992</v>
      </c>
      <c r="R15" s="38">
        <f t="shared" si="28"/>
        <v>1558368.2999999998</v>
      </c>
      <c r="S15" s="30">
        <f t="shared" si="0"/>
        <v>18060000</v>
      </c>
      <c r="T15" s="31">
        <f t="shared" si="1"/>
        <v>800000</v>
      </c>
      <c r="U15" s="32">
        <f>SUM(U16:U25)</f>
        <v>598469.73</v>
      </c>
      <c r="V15" s="33">
        <f t="shared" si="2"/>
        <v>201530.27000000002</v>
      </c>
      <c r="W15" s="31">
        <f t="shared" si="3"/>
        <v>1091530.27</v>
      </c>
      <c r="X15" s="32">
        <f>SUM(X16:X25)</f>
        <v>800812.60999999987</v>
      </c>
      <c r="Y15" s="33">
        <f t="shared" si="4"/>
        <v>290717.66000000015</v>
      </c>
      <c r="Z15" s="31">
        <f t="shared" si="5"/>
        <v>1734672.1800000002</v>
      </c>
      <c r="AA15" s="32">
        <f>SUM(AA16:AA25)</f>
        <v>1337753.42</v>
      </c>
      <c r="AB15" s="33">
        <f t="shared" si="6"/>
        <v>396918.76000000024</v>
      </c>
      <c r="AC15" s="31">
        <f t="shared" si="7"/>
        <v>1997774.7400000002</v>
      </c>
      <c r="AD15" s="32">
        <f>SUM(AD16:AD25)</f>
        <v>1827910.3400000003</v>
      </c>
      <c r="AE15" s="33">
        <f t="shared" si="8"/>
        <v>169864.39999999991</v>
      </c>
      <c r="AF15" s="31">
        <f t="shared" si="9"/>
        <v>1994100.9000000001</v>
      </c>
      <c r="AG15" s="32">
        <f>SUM(AG16:AG25)</f>
        <v>1027120.47</v>
      </c>
      <c r="AH15" s="33">
        <f t="shared" si="10"/>
        <v>966980.43000000017</v>
      </c>
      <c r="AI15" s="31">
        <f t="shared" si="11"/>
        <v>3610333.79</v>
      </c>
      <c r="AJ15" s="32">
        <f>SUM(AJ16:AJ25)</f>
        <v>2044998.1499999997</v>
      </c>
      <c r="AK15" s="33">
        <f>AI15-AJ15</f>
        <v>1565335.6400000004</v>
      </c>
      <c r="AL15" s="31">
        <f t="shared" si="13"/>
        <v>3324243.8</v>
      </c>
      <c r="AM15" s="32">
        <f>SUM(AM16:AM25)</f>
        <v>2002989.58</v>
      </c>
      <c r="AN15" s="33">
        <f t="shared" si="14"/>
        <v>1321254.2199999997</v>
      </c>
      <c r="AO15" s="31">
        <f t="shared" si="15"/>
        <v>2834386.65</v>
      </c>
      <c r="AP15" s="32">
        <f>SUM(AP16:AP25)</f>
        <v>2485236.7799999993</v>
      </c>
      <c r="AQ15" s="33">
        <f t="shared" si="16"/>
        <v>349149.87000000058</v>
      </c>
      <c r="AR15" s="34">
        <f t="shared" si="17"/>
        <v>1621247.0300000005</v>
      </c>
      <c r="AS15" s="32">
        <f>SUM(AS16:AS25)</f>
        <v>1419645.8000000003</v>
      </c>
      <c r="AT15" s="35">
        <f t="shared" si="18"/>
        <v>201601.23000000021</v>
      </c>
      <c r="AU15" s="34">
        <f t="shared" si="19"/>
        <v>2188882.41</v>
      </c>
      <c r="AV15" s="32">
        <f>SUM(AV16:AV25)</f>
        <v>1307978.4099999997</v>
      </c>
      <c r="AW15" s="35">
        <f t="shared" si="20"/>
        <v>880904.00000000047</v>
      </c>
      <c r="AX15" s="34">
        <f t="shared" si="21"/>
        <v>1648716.4100000004</v>
      </c>
      <c r="AY15" s="32">
        <f>SUM(AY16:AY25)</f>
        <v>57065.9</v>
      </c>
      <c r="AZ15" s="35">
        <f t="shared" si="22"/>
        <v>1591650.5100000005</v>
      </c>
      <c r="BA15" s="34">
        <f t="shared" si="23"/>
        <v>3150018.8100000005</v>
      </c>
      <c r="BB15" s="32">
        <f>SUM(BB16:BB25)</f>
        <v>0</v>
      </c>
      <c r="BC15" s="35">
        <f t="shared" si="25"/>
        <v>3150018.8100000005</v>
      </c>
      <c r="BD15" s="36">
        <f>SUM(BD16:BD25)</f>
        <v>14909981.190000005</v>
      </c>
      <c r="BE15" s="22"/>
    </row>
    <row r="16" spans="4:57" s="6" customFormat="1" ht="47.25" x14ac:dyDescent="0.25">
      <c r="D16" s="37"/>
      <c r="E16" s="37">
        <v>2610</v>
      </c>
      <c r="F16" s="39" t="s">
        <v>44</v>
      </c>
      <c r="G16" s="24">
        <f>650000-7980.85</f>
        <v>642019.15</v>
      </c>
      <c r="H16" s="24">
        <f>650000-2821.41</f>
        <v>647178.59</v>
      </c>
      <c r="I16" s="24">
        <f>650000+7980.85+194476.5+304000+85410.88</f>
        <v>1241868.23</v>
      </c>
      <c r="J16" s="24">
        <f>650000+2821.41-88014.42+219913.93+59587.53+37765.53</f>
        <v>882073.98</v>
      </c>
      <c r="K16" s="24">
        <f>650000-106462.08-219913.93+7842.25+28283+241820.84+278949.91+22679.55</f>
        <v>903199.54</v>
      </c>
      <c r="L16" s="24">
        <f>650000-363587.53-7842.25+248902.31+287197.91+269800.42+88187.57+180457.14</f>
        <v>1353115.5699999998</v>
      </c>
      <c r="M16" s="24">
        <f>650000-28283-241820.84+166428.85+254576.69+157693.47</f>
        <v>958595.16999999993</v>
      </c>
      <c r="N16" s="24">
        <f>650000-287197.91-269800.42+109302.25+541337.53+22836.78</f>
        <v>766478.2300000001</v>
      </c>
      <c r="O16" s="24">
        <f>650000-248902.31-166428.85-234668.84+385205.13+322947.72+7097.07</f>
        <v>715249.91999999993</v>
      </c>
      <c r="P16" s="24">
        <f>650000-108095.42-266995.72-174908.86-100000+1726918.5-7097.07-160488.79</f>
        <v>1559332.64</v>
      </c>
      <c r="Q16" s="24">
        <f>650000-541337.53-104041.05+565021.81+106723.09-37065.9</f>
        <v>639300.41999999993</v>
      </c>
      <c r="R16" s="24">
        <f>650000-285205.13+35962.09+53765.7+1000000+37065.9</f>
        <v>1491588.5599999998</v>
      </c>
      <c r="S16" s="15">
        <f t="shared" si="0"/>
        <v>11800000.000000002</v>
      </c>
      <c r="T16" s="16">
        <f t="shared" si="1"/>
        <v>642019.15</v>
      </c>
      <c r="U16" s="17">
        <f>336579.41+249574.88</f>
        <v>586154.29</v>
      </c>
      <c r="V16" s="18">
        <f t="shared" si="2"/>
        <v>55864.859999999986</v>
      </c>
      <c r="W16" s="16">
        <f t="shared" si="3"/>
        <v>703043.45</v>
      </c>
      <c r="X16" s="17">
        <f>217142.68+297102.36</f>
        <v>514245.04</v>
      </c>
      <c r="Y16" s="18">
        <f t="shared" si="4"/>
        <v>188798.40999999997</v>
      </c>
      <c r="Z16" s="16">
        <f t="shared" si="5"/>
        <v>1430666.64</v>
      </c>
      <c r="AA16" s="17">
        <f>603792.9+203960.24+233502.62</f>
        <v>1041255.76</v>
      </c>
      <c r="AB16" s="18">
        <f t="shared" si="6"/>
        <v>389410.87999999989</v>
      </c>
      <c r="AC16" s="16">
        <f t="shared" si="7"/>
        <v>1271484.8599999999</v>
      </c>
      <c r="AD16" s="17">
        <f>448455.64+336265.28+363587.53</f>
        <v>1148308.4500000002</v>
      </c>
      <c r="AE16" s="18">
        <f t="shared" si="8"/>
        <v>123176.40999999968</v>
      </c>
      <c r="AF16" s="16">
        <f t="shared" si="9"/>
        <v>1026375.9499999997</v>
      </c>
      <c r="AG16" s="17">
        <f>331493.23+241820.84</f>
        <v>573314.06999999995</v>
      </c>
      <c r="AH16" s="18">
        <f t="shared" si="10"/>
        <v>453061.87999999977</v>
      </c>
      <c r="AI16" s="16">
        <f t="shared" si="11"/>
        <v>1806177.4499999997</v>
      </c>
      <c r="AJ16" s="17">
        <f>555728.54+287197.91+269800.42</f>
        <v>1112726.8699999999</v>
      </c>
      <c r="AK16" s="18">
        <f t="shared" si="12"/>
        <v>693450.57999999984</v>
      </c>
      <c r="AL16" s="16">
        <f t="shared" si="13"/>
        <v>1652045.7499999998</v>
      </c>
      <c r="AM16" s="17">
        <f>332512.73+213812.28+342764.26</f>
        <v>889089.27</v>
      </c>
      <c r="AN16" s="18">
        <f t="shared" si="14"/>
        <v>762956.47999999975</v>
      </c>
      <c r="AO16" s="16">
        <f t="shared" si="15"/>
        <v>1529434.71</v>
      </c>
      <c r="AP16" s="17">
        <f>266995.72+634339.2+278949.91</f>
        <v>1180284.8299999998</v>
      </c>
      <c r="AQ16" s="18">
        <f t="shared" si="16"/>
        <v>349149.88000000012</v>
      </c>
      <c r="AR16" s="19">
        <f t="shared" si="17"/>
        <v>1064399.8</v>
      </c>
      <c r="AS16" s="17">
        <f>385205.12+334617.18+344577.5</f>
        <v>1064399.8</v>
      </c>
      <c r="AT16" s="20">
        <f t="shared" si="18"/>
        <v>0</v>
      </c>
      <c r="AU16" s="19">
        <f t="shared" si="19"/>
        <v>1559332.64</v>
      </c>
      <c r="AV16" s="17">
        <f>182323.8+129531.53+312283.82+225237.46</f>
        <v>849376.60999999987</v>
      </c>
      <c r="AW16" s="20">
        <f t="shared" si="20"/>
        <v>709956.03</v>
      </c>
      <c r="AX16" s="19">
        <f t="shared" si="21"/>
        <v>1349256.45</v>
      </c>
      <c r="AY16" s="17"/>
      <c r="AZ16" s="20">
        <f t="shared" si="22"/>
        <v>1349256.45</v>
      </c>
      <c r="BA16" s="19">
        <f t="shared" si="23"/>
        <v>2840845.01</v>
      </c>
      <c r="BB16" s="17"/>
      <c r="BC16" s="20">
        <f t="shared" si="25"/>
        <v>2840845.01</v>
      </c>
      <c r="BD16" s="21">
        <f t="shared" ref="BD16:BD25" si="29">S16-BC16</f>
        <v>8959154.9900000021</v>
      </c>
      <c r="BE16" s="22"/>
    </row>
    <row r="17" spans="4:57" s="6" customFormat="1" x14ac:dyDescent="0.25">
      <c r="D17" s="40"/>
      <c r="E17" s="37">
        <v>2610</v>
      </c>
      <c r="F17" s="41" t="s">
        <v>45</v>
      </c>
      <c r="G17" s="42">
        <v>40000</v>
      </c>
      <c r="H17" s="42">
        <f>20000+50000</f>
        <v>70000</v>
      </c>
      <c r="I17" s="42">
        <f>60000+55471.31</f>
        <v>115471.31</v>
      </c>
      <c r="J17" s="42">
        <f>80000+60000-105471.31+14022+80024.37</f>
        <v>128575.06</v>
      </c>
      <c r="K17" s="42">
        <f>80000-7842.25+38816.75+52990.08</f>
        <v>163964.58000000002</v>
      </c>
      <c r="L17" s="42">
        <f>100000-80024.37+7842.25+20186.55</f>
        <v>48004.430000000008</v>
      </c>
      <c r="M17" s="42">
        <f>80000-38816.75-8258.74</f>
        <v>32924.51</v>
      </c>
      <c r="N17" s="42">
        <f>80000-20186.55+35215.09</f>
        <v>95028.54</v>
      </c>
      <c r="O17" s="42">
        <f>80000-14022+8258.74-35215.09+60000</f>
        <v>99021.650000000009</v>
      </c>
      <c r="P17" s="42">
        <f>100000-52990.08+50032.32</f>
        <v>97042.239999999991</v>
      </c>
      <c r="Q17" s="42">
        <f>80000-60000+37065.9</f>
        <v>57065.9</v>
      </c>
      <c r="R17" s="42">
        <f>100000-50032.32-37065.9</f>
        <v>12901.779999999999</v>
      </c>
      <c r="S17" s="15">
        <f t="shared" si="0"/>
        <v>960000.00000000012</v>
      </c>
      <c r="T17" s="16">
        <f t="shared" si="1"/>
        <v>40000</v>
      </c>
      <c r="U17" s="17"/>
      <c r="V17" s="18">
        <f t="shared" si="2"/>
        <v>40000</v>
      </c>
      <c r="W17" s="16">
        <f t="shared" si="3"/>
        <v>110000</v>
      </c>
      <c r="X17" s="17">
        <v>56948.77</v>
      </c>
      <c r="Y17" s="18">
        <f t="shared" si="4"/>
        <v>53051.23</v>
      </c>
      <c r="Z17" s="16">
        <f t="shared" si="5"/>
        <v>168522.54</v>
      </c>
      <c r="AA17" s="17">
        <f>168522.54</f>
        <v>168522.54</v>
      </c>
      <c r="AB17" s="18">
        <f t="shared" si="6"/>
        <v>0</v>
      </c>
      <c r="AC17" s="16">
        <f t="shared" si="7"/>
        <v>128575.06</v>
      </c>
      <c r="AD17" s="17">
        <f>48550.69+80024.38</f>
        <v>128575.07</v>
      </c>
      <c r="AE17" s="18">
        <f t="shared" si="8"/>
        <v>-1.0000000009313226E-2</v>
      </c>
      <c r="AF17" s="16">
        <f t="shared" si="9"/>
        <v>163964.57</v>
      </c>
      <c r="AG17" s="17">
        <f>110974.5</f>
        <v>110974.5</v>
      </c>
      <c r="AH17" s="18">
        <f t="shared" si="10"/>
        <v>52990.070000000007</v>
      </c>
      <c r="AI17" s="16">
        <f t="shared" si="11"/>
        <v>100994.50000000001</v>
      </c>
      <c r="AJ17" s="17">
        <f>48004.43</f>
        <v>48004.43</v>
      </c>
      <c r="AK17" s="18">
        <f t="shared" si="12"/>
        <v>52990.070000000014</v>
      </c>
      <c r="AL17" s="16">
        <f t="shared" si="13"/>
        <v>85914.580000000016</v>
      </c>
      <c r="AM17" s="17">
        <f>32924.51</f>
        <v>32924.51</v>
      </c>
      <c r="AN17" s="18">
        <f t="shared" si="14"/>
        <v>52990.070000000014</v>
      </c>
      <c r="AO17" s="16">
        <f t="shared" si="15"/>
        <v>148018.61000000002</v>
      </c>
      <c r="AP17" s="17">
        <f>95028.54+52990.08</f>
        <v>148018.62</v>
      </c>
      <c r="AQ17" s="18">
        <f t="shared" si="16"/>
        <v>-9.9999999802093953E-3</v>
      </c>
      <c r="AR17" s="19">
        <f t="shared" si="17"/>
        <v>99021.640000000029</v>
      </c>
      <c r="AS17" s="17">
        <v>71632.800000000003</v>
      </c>
      <c r="AT17" s="20">
        <f t="shared" si="18"/>
        <v>27388.840000000026</v>
      </c>
      <c r="AU17" s="19">
        <f t="shared" si="19"/>
        <v>124431.08000000002</v>
      </c>
      <c r="AV17" s="17">
        <v>124431.08</v>
      </c>
      <c r="AW17" s="20">
        <f t="shared" si="20"/>
        <v>0</v>
      </c>
      <c r="AX17" s="19">
        <f t="shared" si="21"/>
        <v>57065.9</v>
      </c>
      <c r="AY17" s="17">
        <v>57065.9</v>
      </c>
      <c r="AZ17" s="20">
        <f t="shared" si="22"/>
        <v>0</v>
      </c>
      <c r="BA17" s="19">
        <f t="shared" si="23"/>
        <v>12901.779999999999</v>
      </c>
      <c r="BB17" s="17"/>
      <c r="BC17" s="20">
        <f t="shared" si="25"/>
        <v>12901.779999999999</v>
      </c>
      <c r="BD17" s="21">
        <f t="shared" si="29"/>
        <v>947098.22000000009</v>
      </c>
      <c r="BE17" s="22"/>
    </row>
    <row r="18" spans="4:57" s="6" customFormat="1" x14ac:dyDescent="0.25">
      <c r="D18" s="37"/>
      <c r="E18" s="37">
        <v>2610</v>
      </c>
      <c r="F18" s="39" t="s">
        <v>46</v>
      </c>
      <c r="G18" s="24"/>
      <c r="H18" s="24"/>
      <c r="I18" s="24"/>
      <c r="J18" s="24"/>
      <c r="K18" s="24">
        <f>100000-28262.67+167634.28</f>
        <v>239371.61</v>
      </c>
      <c r="L18" s="24">
        <f>400000+28262.67-20186.55-237964.13</f>
        <v>170111.99</v>
      </c>
      <c r="M18" s="24">
        <f>300000-155740.09-2000+217129.93+192.99</f>
        <v>359582.82999999996</v>
      </c>
      <c r="N18" s="24">
        <f>300000+20186.55+237964.13+2000-217129.93-180000-42266.83+144656.14-19086.76+74582.65</f>
        <v>320905.94999999995</v>
      </c>
      <c r="O18" s="24">
        <f>200000+155740.09+140143.07+42266.83-144656.14+19086.76-242409.92</f>
        <v>170170.68999999997</v>
      </c>
      <c r="P18" s="24">
        <v>39856.93</v>
      </c>
      <c r="Q18" s="24"/>
      <c r="R18" s="24"/>
      <c r="S18" s="15">
        <f t="shared" si="0"/>
        <v>1299999.9999999998</v>
      </c>
      <c r="T18" s="16">
        <f t="shared" si="1"/>
        <v>0</v>
      </c>
      <c r="U18" s="17"/>
      <c r="V18" s="18">
        <f t="shared" si="2"/>
        <v>0</v>
      </c>
      <c r="W18" s="16">
        <f t="shared" si="3"/>
        <v>0</v>
      </c>
      <c r="X18" s="17"/>
      <c r="Y18" s="18">
        <f t="shared" si="4"/>
        <v>0</v>
      </c>
      <c r="Z18" s="16">
        <f t="shared" si="5"/>
        <v>0</v>
      </c>
      <c r="AA18" s="17"/>
      <c r="AB18" s="18">
        <f t="shared" si="6"/>
        <v>0</v>
      </c>
      <c r="AC18" s="16">
        <f t="shared" si="7"/>
        <v>0</v>
      </c>
      <c r="AD18" s="17"/>
      <c r="AE18" s="18">
        <f t="shared" si="8"/>
        <v>0</v>
      </c>
      <c r="AF18" s="16">
        <f t="shared" si="9"/>
        <v>239371.61</v>
      </c>
      <c r="AG18" s="17">
        <f>24955.61</f>
        <v>24955.61</v>
      </c>
      <c r="AH18" s="18">
        <f t="shared" si="10"/>
        <v>214416</v>
      </c>
      <c r="AI18" s="16">
        <f t="shared" si="11"/>
        <v>384527.99</v>
      </c>
      <c r="AJ18" s="17">
        <f>54444.22</f>
        <v>54444.22</v>
      </c>
      <c r="AK18" s="18">
        <f t="shared" si="12"/>
        <v>330083.77</v>
      </c>
      <c r="AL18" s="16">
        <f t="shared" si="13"/>
        <v>689666.6</v>
      </c>
      <c r="AM18" s="17">
        <f>249378.83+272460.5</f>
        <v>521839.32999999996</v>
      </c>
      <c r="AN18" s="18">
        <f t="shared" si="14"/>
        <v>167827.27000000002</v>
      </c>
      <c r="AO18" s="16">
        <f t="shared" si="15"/>
        <v>488733.22</v>
      </c>
      <c r="AP18" s="17">
        <f>144656.14+344077.08</f>
        <v>488733.22000000003</v>
      </c>
      <c r="AQ18" s="18">
        <f t="shared" si="16"/>
        <v>0</v>
      </c>
      <c r="AR18" s="19">
        <f t="shared" si="17"/>
        <v>170170.68999999997</v>
      </c>
      <c r="AS18" s="17">
        <f>84597.22</f>
        <v>84597.22</v>
      </c>
      <c r="AT18" s="20">
        <f t="shared" si="18"/>
        <v>85573.469999999972</v>
      </c>
      <c r="AU18" s="19">
        <f t="shared" si="19"/>
        <v>125430.39999999997</v>
      </c>
      <c r="AV18" s="17">
        <v>121207.94</v>
      </c>
      <c r="AW18" s="20">
        <f t="shared" si="20"/>
        <v>4222.4599999999627</v>
      </c>
      <c r="AX18" s="19">
        <f t="shared" si="21"/>
        <v>4222.4599999999627</v>
      </c>
      <c r="AY18" s="17"/>
      <c r="AZ18" s="20">
        <f t="shared" si="22"/>
        <v>4222.4599999999627</v>
      </c>
      <c r="BA18" s="19">
        <f t="shared" si="23"/>
        <v>4222.4599999999627</v>
      </c>
      <c r="BB18" s="17"/>
      <c r="BC18" s="20">
        <f t="shared" si="25"/>
        <v>4222.4599999999627</v>
      </c>
      <c r="BD18" s="21">
        <f t="shared" si="29"/>
        <v>1295777.5399999998</v>
      </c>
      <c r="BE18" s="22"/>
    </row>
    <row r="19" spans="4:57" s="6" customFormat="1" x14ac:dyDescent="0.25">
      <c r="D19" s="37"/>
      <c r="E19" s="37">
        <v>2610</v>
      </c>
      <c r="F19" s="39" t="s">
        <v>35</v>
      </c>
      <c r="G19" s="24"/>
      <c r="H19" s="24"/>
      <c r="I19" s="24">
        <f>80000-80000</f>
        <v>0</v>
      </c>
      <c r="J19" s="24">
        <f>80000-59587.53-20412.47</f>
        <v>0</v>
      </c>
      <c r="K19" s="24">
        <f>2765.05+32900.25+90</f>
        <v>35755.300000000003</v>
      </c>
      <c r="L19" s="24">
        <f>59587.53+17647.42-32900.25+26414.17</f>
        <v>70748.87</v>
      </c>
      <c r="M19" s="24"/>
      <c r="N19" s="24">
        <v>40340.160000000003</v>
      </c>
      <c r="O19" s="24">
        <f>37098.14+3155.67</f>
        <v>40253.81</v>
      </c>
      <c r="P19" s="24">
        <f>70000-26414.17-40430.16-3155.67</f>
        <v>0</v>
      </c>
      <c r="Q19" s="24"/>
      <c r="R19" s="24"/>
      <c r="S19" s="15">
        <f t="shared" si="0"/>
        <v>187098.14</v>
      </c>
      <c r="T19" s="16">
        <f t="shared" si="1"/>
        <v>0</v>
      </c>
      <c r="U19" s="17"/>
      <c r="V19" s="18">
        <f t="shared" si="2"/>
        <v>0</v>
      </c>
      <c r="W19" s="16">
        <f t="shared" si="3"/>
        <v>0</v>
      </c>
      <c r="X19" s="17"/>
      <c r="Y19" s="18">
        <f t="shared" si="4"/>
        <v>0</v>
      </c>
      <c r="Z19" s="16">
        <f t="shared" si="5"/>
        <v>0</v>
      </c>
      <c r="AA19" s="17"/>
      <c r="AB19" s="18">
        <f t="shared" si="6"/>
        <v>0</v>
      </c>
      <c r="AC19" s="16">
        <f t="shared" si="7"/>
        <v>0</v>
      </c>
      <c r="AD19" s="17"/>
      <c r="AE19" s="18">
        <f t="shared" si="8"/>
        <v>0</v>
      </c>
      <c r="AF19" s="16">
        <f t="shared" si="9"/>
        <v>35755.300000000003</v>
      </c>
      <c r="AG19" s="17">
        <f>35665.3</f>
        <v>35665.300000000003</v>
      </c>
      <c r="AH19" s="18">
        <f t="shared" si="10"/>
        <v>90</v>
      </c>
      <c r="AI19" s="16">
        <f t="shared" si="11"/>
        <v>70838.87</v>
      </c>
      <c r="AJ19" s="17">
        <f>38545.67</f>
        <v>38545.67</v>
      </c>
      <c r="AK19" s="18">
        <f t="shared" si="12"/>
        <v>32293.199999999997</v>
      </c>
      <c r="AL19" s="16">
        <f t="shared" si="13"/>
        <v>32293.199999999997</v>
      </c>
      <c r="AM19" s="17">
        <f>32203.2</f>
        <v>32203.200000000001</v>
      </c>
      <c r="AN19" s="18">
        <f t="shared" si="14"/>
        <v>89.999999999996362</v>
      </c>
      <c r="AO19" s="16">
        <f t="shared" si="15"/>
        <v>40430.160000000003</v>
      </c>
      <c r="AP19" s="17">
        <f>40430.16</f>
        <v>40430.160000000003</v>
      </c>
      <c r="AQ19" s="18">
        <f t="shared" si="16"/>
        <v>0</v>
      </c>
      <c r="AR19" s="19">
        <f t="shared" si="17"/>
        <v>40253.81</v>
      </c>
      <c r="AS19" s="17">
        <v>40253.81</v>
      </c>
      <c r="AT19" s="20">
        <f t="shared" si="18"/>
        <v>0</v>
      </c>
      <c r="AU19" s="19">
        <f t="shared" si="19"/>
        <v>0</v>
      </c>
      <c r="AV19" s="17"/>
      <c r="AW19" s="20">
        <f t="shared" si="20"/>
        <v>0</v>
      </c>
      <c r="AX19" s="19">
        <f t="shared" si="21"/>
        <v>0</v>
      </c>
      <c r="AY19" s="17"/>
      <c r="AZ19" s="20">
        <f t="shared" si="22"/>
        <v>0</v>
      </c>
      <c r="BA19" s="19">
        <f t="shared" si="23"/>
        <v>0</v>
      </c>
      <c r="BB19" s="17"/>
      <c r="BC19" s="20">
        <f t="shared" si="25"/>
        <v>0</v>
      </c>
      <c r="BD19" s="21">
        <f t="shared" si="29"/>
        <v>187098.14</v>
      </c>
      <c r="BE19" s="22"/>
    </row>
    <row r="20" spans="4:57" s="6" customFormat="1" x14ac:dyDescent="0.25">
      <c r="D20" s="37"/>
      <c r="E20" s="37">
        <v>2610</v>
      </c>
      <c r="F20" s="39" t="s">
        <v>47</v>
      </c>
      <c r="G20" s="24">
        <v>30000</v>
      </c>
      <c r="H20" s="24">
        <v>30000</v>
      </c>
      <c r="I20" s="24">
        <f>40000-36397.29</f>
        <v>3602.7099999999991</v>
      </c>
      <c r="J20" s="24">
        <v>40000</v>
      </c>
      <c r="K20" s="24">
        <f>40000+36397.29</f>
        <v>76397.290000000008</v>
      </c>
      <c r="L20" s="24">
        <f>40000-20234.58</f>
        <v>19765.419999999998</v>
      </c>
      <c r="M20" s="24">
        <f>30000-30000</f>
        <v>0</v>
      </c>
      <c r="N20" s="24">
        <f>30000+43871.67-73871.67</f>
        <v>0</v>
      </c>
      <c r="O20" s="24">
        <f>30000+6362.91+73871.67+42611.15-37098.14-95344.71</f>
        <v>20402.880000000005</v>
      </c>
      <c r="P20" s="24">
        <f>95344.71</f>
        <v>95344.71</v>
      </c>
      <c r="Q20" s="24">
        <f>30000-14401.21-12611.15</f>
        <v>2987.6400000000012</v>
      </c>
      <c r="R20" s="24">
        <f>30000-30000</f>
        <v>0</v>
      </c>
      <c r="S20" s="15">
        <f t="shared" si="0"/>
        <v>318500.65000000002</v>
      </c>
      <c r="T20" s="16">
        <f t="shared" si="1"/>
        <v>30000</v>
      </c>
      <c r="U20" s="17"/>
      <c r="V20" s="18">
        <f t="shared" si="2"/>
        <v>30000</v>
      </c>
      <c r="W20" s="16">
        <f t="shared" si="3"/>
        <v>60000</v>
      </c>
      <c r="X20" s="17">
        <v>23410.32</v>
      </c>
      <c r="Y20" s="18">
        <f t="shared" si="4"/>
        <v>36589.68</v>
      </c>
      <c r="Z20" s="16">
        <f t="shared" si="5"/>
        <v>40192.39</v>
      </c>
      <c r="AA20" s="17">
        <f>40192.39</f>
        <v>40192.39</v>
      </c>
      <c r="AB20" s="18">
        <f t="shared" si="6"/>
        <v>0</v>
      </c>
      <c r="AC20" s="16">
        <f t="shared" si="7"/>
        <v>40000</v>
      </c>
      <c r="AD20" s="17"/>
      <c r="AE20" s="18">
        <f t="shared" si="8"/>
        <v>40000</v>
      </c>
      <c r="AF20" s="16">
        <f t="shared" si="9"/>
        <v>116397.29000000001</v>
      </c>
      <c r="AG20" s="17">
        <f>77766.34</f>
        <v>77766.34</v>
      </c>
      <c r="AH20" s="18">
        <f t="shared" si="10"/>
        <v>38630.950000000012</v>
      </c>
      <c r="AI20" s="16">
        <f t="shared" si="11"/>
        <v>58396.37000000001</v>
      </c>
      <c r="AJ20" s="17">
        <v>58396.37</v>
      </c>
      <c r="AK20" s="18">
        <f t="shared" si="12"/>
        <v>0</v>
      </c>
      <c r="AL20" s="16">
        <f t="shared" si="13"/>
        <v>0</v>
      </c>
      <c r="AM20" s="17"/>
      <c r="AN20" s="18">
        <f t="shared" si="14"/>
        <v>0</v>
      </c>
      <c r="AO20" s="16">
        <f t="shared" si="15"/>
        <v>0</v>
      </c>
      <c r="AP20" s="17"/>
      <c r="AQ20" s="18">
        <f t="shared" si="16"/>
        <v>0</v>
      </c>
      <c r="AR20" s="19">
        <f t="shared" si="17"/>
        <v>20402.880000000005</v>
      </c>
      <c r="AS20" s="17"/>
      <c r="AT20" s="20">
        <f t="shared" si="18"/>
        <v>20402.880000000005</v>
      </c>
      <c r="AU20" s="19">
        <f t="shared" si="19"/>
        <v>115747.59000000001</v>
      </c>
      <c r="AV20" s="17">
        <v>17808.02</v>
      </c>
      <c r="AW20" s="20">
        <f t="shared" si="20"/>
        <v>97939.57</v>
      </c>
      <c r="AX20" s="19">
        <f t="shared" si="21"/>
        <v>100927.21</v>
      </c>
      <c r="AY20" s="17"/>
      <c r="AZ20" s="20">
        <f t="shared" si="22"/>
        <v>100927.21</v>
      </c>
      <c r="BA20" s="19">
        <f t="shared" si="23"/>
        <v>100927.21</v>
      </c>
      <c r="BB20" s="17"/>
      <c r="BC20" s="20">
        <f t="shared" si="25"/>
        <v>100927.21</v>
      </c>
      <c r="BD20" s="21">
        <f t="shared" si="29"/>
        <v>217573.44</v>
      </c>
      <c r="BE20" s="22"/>
    </row>
    <row r="21" spans="4:57" s="6" customFormat="1" x14ac:dyDescent="0.25">
      <c r="D21" s="37"/>
      <c r="E21" s="37">
        <v>2610</v>
      </c>
      <c r="F21" s="39" t="s">
        <v>48</v>
      </c>
      <c r="G21" s="24"/>
      <c r="H21" s="24"/>
      <c r="I21" s="24"/>
      <c r="J21" s="24"/>
      <c r="K21" s="24"/>
      <c r="L21" s="24">
        <f>120000-49233.78</f>
        <v>70766.22</v>
      </c>
      <c r="M21" s="24">
        <f>30000+2000-192.99</f>
        <v>31807.01</v>
      </c>
      <c r="N21" s="24">
        <f>30000+49233.78-2000-59598.59</f>
        <v>17635.190000000002</v>
      </c>
      <c r="O21" s="24">
        <f>20000+19451.42-3877.96</f>
        <v>35573.46</v>
      </c>
      <c r="P21" s="24">
        <v>40340.160000000003</v>
      </c>
      <c r="Q21" s="24"/>
      <c r="R21" s="24">
        <f>3877.96</f>
        <v>3877.96</v>
      </c>
      <c r="S21" s="15">
        <f t="shared" si="0"/>
        <v>200000</v>
      </c>
      <c r="T21" s="16">
        <f t="shared" si="1"/>
        <v>0</v>
      </c>
      <c r="U21" s="17"/>
      <c r="V21" s="18">
        <f t="shared" si="2"/>
        <v>0</v>
      </c>
      <c r="W21" s="16">
        <f t="shared" si="3"/>
        <v>0</v>
      </c>
      <c r="X21" s="17"/>
      <c r="Y21" s="18">
        <f t="shared" si="4"/>
        <v>0</v>
      </c>
      <c r="Z21" s="16">
        <f t="shared" si="5"/>
        <v>0</v>
      </c>
      <c r="AA21" s="17"/>
      <c r="AB21" s="18">
        <f t="shared" si="6"/>
        <v>0</v>
      </c>
      <c r="AC21" s="16">
        <f t="shared" si="7"/>
        <v>0</v>
      </c>
      <c r="AD21" s="17"/>
      <c r="AE21" s="18">
        <f t="shared" si="8"/>
        <v>0</v>
      </c>
      <c r="AF21" s="16">
        <f t="shared" si="9"/>
        <v>0</v>
      </c>
      <c r="AG21" s="17"/>
      <c r="AH21" s="18">
        <f t="shared" si="10"/>
        <v>0</v>
      </c>
      <c r="AI21" s="16">
        <f t="shared" si="11"/>
        <v>70766.22</v>
      </c>
      <c r="AJ21" s="17">
        <f>70766.22</f>
        <v>70766.22</v>
      </c>
      <c r="AK21" s="18">
        <f t="shared" si="12"/>
        <v>0</v>
      </c>
      <c r="AL21" s="16">
        <f t="shared" si="13"/>
        <v>31807.01</v>
      </c>
      <c r="AM21" s="17">
        <v>31807.01</v>
      </c>
      <c r="AN21" s="18">
        <f t="shared" si="14"/>
        <v>0</v>
      </c>
      <c r="AO21" s="16">
        <f t="shared" si="15"/>
        <v>17635.190000000002</v>
      </c>
      <c r="AP21" s="17">
        <f>17635.19</f>
        <v>17635.189999999999</v>
      </c>
      <c r="AQ21" s="18">
        <f t="shared" si="16"/>
        <v>0</v>
      </c>
      <c r="AR21" s="19">
        <f t="shared" si="17"/>
        <v>35573.46</v>
      </c>
      <c r="AS21" s="17">
        <f>1848.62</f>
        <v>1848.62</v>
      </c>
      <c r="AT21" s="20">
        <f t="shared" si="18"/>
        <v>33724.839999999997</v>
      </c>
      <c r="AU21" s="19">
        <f t="shared" si="19"/>
        <v>74065</v>
      </c>
      <c r="AV21" s="17">
        <v>9952.43</v>
      </c>
      <c r="AW21" s="20">
        <f t="shared" si="20"/>
        <v>64112.57</v>
      </c>
      <c r="AX21" s="19">
        <f t="shared" si="21"/>
        <v>64112.57</v>
      </c>
      <c r="AY21" s="17"/>
      <c r="AZ21" s="20">
        <f t="shared" si="22"/>
        <v>64112.57</v>
      </c>
      <c r="BA21" s="19">
        <f t="shared" si="23"/>
        <v>67990.53</v>
      </c>
      <c r="BB21" s="17"/>
      <c r="BC21" s="20">
        <f t="shared" si="25"/>
        <v>67990.53</v>
      </c>
      <c r="BD21" s="21">
        <f t="shared" si="29"/>
        <v>132009.47</v>
      </c>
      <c r="BE21" s="22"/>
    </row>
    <row r="22" spans="4:57" s="6" customFormat="1" x14ac:dyDescent="0.25">
      <c r="D22" s="37"/>
      <c r="E22" s="37">
        <v>2610</v>
      </c>
      <c r="F22" s="39" t="s">
        <v>49</v>
      </c>
      <c r="G22" s="24">
        <v>7980.85</v>
      </c>
      <c r="H22" s="24">
        <f>50000-50000</f>
        <v>0</v>
      </c>
      <c r="I22" s="24">
        <f>100000-7980.85-55471.31-8014.42-7507.88</f>
        <v>21025.539999999997</v>
      </c>
      <c r="J22" s="24">
        <f>100000+105471.31+8014.42-14022-94954.67</f>
        <v>104509.06000000001</v>
      </c>
      <c r="K22" s="24">
        <f>100000+102462.55-100000-16884.69-50833.26</f>
        <v>34744.599999999984</v>
      </c>
      <c r="L22" s="24">
        <f>70000+32900.25</f>
        <v>102900.25</v>
      </c>
      <c r="M22" s="24">
        <f>100000+67099.75+16884.69+50833.26-166428.85-48871.37</f>
        <v>19517.480000000003</v>
      </c>
      <c r="N22" s="24">
        <f>50000+45953.81+58547.45</f>
        <v>154501.26</v>
      </c>
      <c r="O22" s="24">
        <f>80000+14022+166428.85+48871.37-45953.81-58547.45-42611.15-60000-47388.85</f>
        <v>54820.960000000028</v>
      </c>
      <c r="P22" s="24">
        <f>100000+30000-130000</f>
        <v>0</v>
      </c>
      <c r="Q22" s="24">
        <f>100000+12611.15+60000-172611.15</f>
        <v>0</v>
      </c>
      <c r="R22" s="24">
        <f>50000-50000</f>
        <v>0</v>
      </c>
      <c r="S22" s="15">
        <f t="shared" si="0"/>
        <v>500000</v>
      </c>
      <c r="T22" s="16">
        <f t="shared" si="1"/>
        <v>7980.85</v>
      </c>
      <c r="U22" s="17">
        <v>7980.85</v>
      </c>
      <c r="V22" s="18">
        <f t="shared" si="2"/>
        <v>0</v>
      </c>
      <c r="W22" s="16">
        <f t="shared" si="3"/>
        <v>0</v>
      </c>
      <c r="X22" s="17"/>
      <c r="Y22" s="18">
        <f t="shared" si="4"/>
        <v>0</v>
      </c>
      <c r="Z22" s="16">
        <f t="shared" si="5"/>
        <v>21025.539999999997</v>
      </c>
      <c r="AA22" s="17">
        <f>13216.16+7809.38</f>
        <v>21025.54</v>
      </c>
      <c r="AB22" s="18">
        <f t="shared" si="6"/>
        <v>0</v>
      </c>
      <c r="AC22" s="16">
        <f t="shared" si="7"/>
        <v>104509.06000000001</v>
      </c>
      <c r="AD22" s="17">
        <v>104509.06</v>
      </c>
      <c r="AE22" s="18">
        <f t="shared" si="8"/>
        <v>0</v>
      </c>
      <c r="AF22" s="16">
        <f t="shared" si="9"/>
        <v>34744.599999999984</v>
      </c>
      <c r="AG22" s="17"/>
      <c r="AH22" s="18">
        <f t="shared" si="10"/>
        <v>34744.599999999984</v>
      </c>
      <c r="AI22" s="16">
        <f t="shared" si="11"/>
        <v>137644.84999999998</v>
      </c>
      <c r="AJ22" s="17">
        <f>60144.23</f>
        <v>60144.23</v>
      </c>
      <c r="AK22" s="18">
        <f t="shared" si="12"/>
        <v>77500.619999999966</v>
      </c>
      <c r="AL22" s="16">
        <f t="shared" si="13"/>
        <v>97018.099999999977</v>
      </c>
      <c r="AM22" s="17">
        <f>97018.1</f>
        <v>97018.1</v>
      </c>
      <c r="AN22" s="18">
        <f t="shared" si="14"/>
        <v>0</v>
      </c>
      <c r="AO22" s="16">
        <f t="shared" si="15"/>
        <v>154501.26</v>
      </c>
      <c r="AP22" s="17">
        <f>42045.25+53908.56+58547.45</f>
        <v>154501.26</v>
      </c>
      <c r="AQ22" s="18">
        <f t="shared" si="16"/>
        <v>0</v>
      </c>
      <c r="AR22" s="19">
        <f t="shared" si="17"/>
        <v>54820.960000000028</v>
      </c>
      <c r="AS22" s="17">
        <f>20309.76</f>
        <v>20309.759999999998</v>
      </c>
      <c r="AT22" s="20">
        <f t="shared" si="18"/>
        <v>34511.200000000026</v>
      </c>
      <c r="AU22" s="19">
        <f t="shared" si="19"/>
        <v>34511.200000000026</v>
      </c>
      <c r="AV22" s="17">
        <v>29837.83</v>
      </c>
      <c r="AW22" s="20">
        <f t="shared" si="20"/>
        <v>4673.3700000000244</v>
      </c>
      <c r="AX22" s="19">
        <f t="shared" si="21"/>
        <v>4673.3700000000244</v>
      </c>
      <c r="AY22" s="17"/>
      <c r="AZ22" s="20">
        <f t="shared" si="22"/>
        <v>4673.3700000000244</v>
      </c>
      <c r="BA22" s="19">
        <f t="shared" si="23"/>
        <v>4673.3700000000244</v>
      </c>
      <c r="BB22" s="17"/>
      <c r="BC22" s="20">
        <f t="shared" si="25"/>
        <v>4673.3700000000244</v>
      </c>
      <c r="BD22" s="21">
        <f t="shared" si="29"/>
        <v>495326.63</v>
      </c>
      <c r="BE22" s="22"/>
    </row>
    <row r="23" spans="4:57" s="6" customFormat="1" ht="47.25" x14ac:dyDescent="0.25">
      <c r="D23" s="37"/>
      <c r="E23" s="37">
        <v>2610</v>
      </c>
      <c r="F23" s="43" t="s">
        <v>50</v>
      </c>
      <c r="G23" s="24"/>
      <c r="H23" s="24">
        <v>142821.41</v>
      </c>
      <c r="I23" s="24">
        <f>60000-49206.08</f>
        <v>10793.919999999998</v>
      </c>
      <c r="J23" s="24">
        <f>200000-142821.41+88655.21</f>
        <v>145833.79999999999</v>
      </c>
      <c r="K23" s="24">
        <f>200000+49206.08-88655.21-160550.87+99000</f>
        <v>99000</v>
      </c>
      <c r="L23" s="24">
        <f>200000+20550.87+330586.01+78429.61+2006.62</f>
        <v>631573.11</v>
      </c>
      <c r="M23" s="24">
        <f>200000-200000+155740.09+35446</f>
        <v>191186.09</v>
      </c>
      <c r="N23" s="24">
        <f>200000-130586.01+6562.28</f>
        <v>75976.27</v>
      </c>
      <c r="O23" s="24">
        <f>200000-155740.09-44014.9+47388.85+85091.97</f>
        <v>132725.83000000002</v>
      </c>
      <c r="P23" s="24">
        <f>40000+40000-80000+130000-85091.97+106723.09</f>
        <v>151631.12</v>
      </c>
      <c r="Q23" s="24">
        <f>100000-97429.61+172611.15-106723.09</f>
        <v>68458.449999999983</v>
      </c>
      <c r="R23" s="24">
        <f>50000</f>
        <v>50000</v>
      </c>
      <c r="S23" s="15">
        <f t="shared" si="0"/>
        <v>1700000.0000000002</v>
      </c>
      <c r="T23" s="16">
        <f t="shared" si="1"/>
        <v>0</v>
      </c>
      <c r="U23" s="17"/>
      <c r="V23" s="18">
        <f t="shared" si="2"/>
        <v>0</v>
      </c>
      <c r="W23" s="16">
        <f t="shared" si="3"/>
        <v>142821.41</v>
      </c>
      <c r="X23" s="17">
        <v>142821.41</v>
      </c>
      <c r="Y23" s="18">
        <f t="shared" si="4"/>
        <v>0</v>
      </c>
      <c r="Z23" s="16">
        <f t="shared" si="5"/>
        <v>10793.919999999998</v>
      </c>
      <c r="AA23" s="17">
        <f>10793.92</f>
        <v>10793.92</v>
      </c>
      <c r="AB23" s="18">
        <f t="shared" si="6"/>
        <v>0</v>
      </c>
      <c r="AC23" s="16">
        <f t="shared" si="7"/>
        <v>145833.79999999999</v>
      </c>
      <c r="AD23" s="17">
        <f>145833.8</f>
        <v>145833.79999999999</v>
      </c>
      <c r="AE23" s="18">
        <f t="shared" si="8"/>
        <v>0</v>
      </c>
      <c r="AF23" s="16">
        <f t="shared" si="9"/>
        <v>99000</v>
      </c>
      <c r="AG23" s="17"/>
      <c r="AH23" s="18">
        <f t="shared" si="10"/>
        <v>99000</v>
      </c>
      <c r="AI23" s="16">
        <f t="shared" si="11"/>
        <v>730573.11</v>
      </c>
      <c r="AJ23" s="17">
        <f>551136.88</f>
        <v>551136.88</v>
      </c>
      <c r="AK23" s="18">
        <f t="shared" si="12"/>
        <v>179436.22999999998</v>
      </c>
      <c r="AL23" s="16">
        <f t="shared" si="13"/>
        <v>370622.31999999995</v>
      </c>
      <c r="AM23" s="17">
        <f>155740.09</f>
        <v>155740.09</v>
      </c>
      <c r="AN23" s="18">
        <f t="shared" si="14"/>
        <v>214882.22999999995</v>
      </c>
      <c r="AO23" s="16">
        <f t="shared" si="15"/>
        <v>290858.49999999994</v>
      </c>
      <c r="AP23" s="17">
        <f>246843.6+44014.9</f>
        <v>290858.5</v>
      </c>
      <c r="AQ23" s="18">
        <f t="shared" si="16"/>
        <v>0</v>
      </c>
      <c r="AR23" s="19">
        <f t="shared" si="17"/>
        <v>132725.83000000002</v>
      </c>
      <c r="AS23" s="17">
        <v>132725.82999999999</v>
      </c>
      <c r="AT23" s="20">
        <f t="shared" si="18"/>
        <v>0</v>
      </c>
      <c r="AU23" s="19">
        <f t="shared" si="19"/>
        <v>151631.12</v>
      </c>
      <c r="AV23" s="17">
        <v>151631.12</v>
      </c>
      <c r="AW23" s="20">
        <f t="shared" si="20"/>
        <v>0</v>
      </c>
      <c r="AX23" s="19">
        <f t="shared" si="21"/>
        <v>68458.449999999983</v>
      </c>
      <c r="AY23" s="17"/>
      <c r="AZ23" s="20">
        <f t="shared" si="22"/>
        <v>68458.449999999983</v>
      </c>
      <c r="BA23" s="19">
        <f t="shared" si="23"/>
        <v>118458.44999999998</v>
      </c>
      <c r="BB23" s="17"/>
      <c r="BC23" s="20">
        <f t="shared" si="25"/>
        <v>118458.44999999998</v>
      </c>
      <c r="BD23" s="21">
        <f t="shared" si="29"/>
        <v>1581541.5500000003</v>
      </c>
      <c r="BE23" s="22"/>
    </row>
    <row r="24" spans="4:57" s="6" customFormat="1" x14ac:dyDescent="0.25">
      <c r="D24" s="37"/>
      <c r="E24" s="37">
        <v>2610</v>
      </c>
      <c r="F24" s="39" t="s">
        <v>51</v>
      </c>
      <c r="G24" s="24"/>
      <c r="H24" s="24"/>
      <c r="I24" s="24"/>
      <c r="J24" s="24"/>
      <c r="K24" s="24">
        <f>100000-100000+50833.26</f>
        <v>50833.26</v>
      </c>
      <c r="L24" s="24">
        <f>44401.21</f>
        <v>44401.21</v>
      </c>
      <c r="M24" s="24">
        <f>100000-50833.26-42266.83</f>
        <v>6899.9099999999962</v>
      </c>
      <c r="N24" s="24">
        <v>42266.83</v>
      </c>
      <c r="O24" s="24">
        <f>42266.83-42266.83</f>
        <v>0</v>
      </c>
      <c r="P24" s="24"/>
      <c r="Q24" s="24"/>
      <c r="R24" s="24"/>
      <c r="S24" s="15">
        <f t="shared" si="0"/>
        <v>144401.21000000002</v>
      </c>
      <c r="T24" s="16">
        <f t="shared" si="1"/>
        <v>0</v>
      </c>
      <c r="U24" s="17"/>
      <c r="V24" s="18">
        <f t="shared" si="2"/>
        <v>0</v>
      </c>
      <c r="W24" s="16">
        <f t="shared" si="3"/>
        <v>0</v>
      </c>
      <c r="X24" s="17"/>
      <c r="Y24" s="18">
        <f t="shared" si="4"/>
        <v>0</v>
      </c>
      <c r="Z24" s="16">
        <f t="shared" si="5"/>
        <v>0</v>
      </c>
      <c r="AA24" s="17"/>
      <c r="AB24" s="18">
        <f t="shared" si="6"/>
        <v>0</v>
      </c>
      <c r="AC24" s="16">
        <f t="shared" si="7"/>
        <v>0</v>
      </c>
      <c r="AD24" s="17"/>
      <c r="AE24" s="18">
        <f t="shared" si="8"/>
        <v>0</v>
      </c>
      <c r="AF24" s="16">
        <f t="shared" si="9"/>
        <v>50833.26</v>
      </c>
      <c r="AG24" s="17"/>
      <c r="AH24" s="18">
        <f t="shared" si="10"/>
        <v>50833.26</v>
      </c>
      <c r="AI24" s="16">
        <f t="shared" si="11"/>
        <v>95234.47</v>
      </c>
      <c r="AJ24" s="17">
        <f>50833.26</f>
        <v>50833.26</v>
      </c>
      <c r="AK24" s="18">
        <f t="shared" si="12"/>
        <v>44401.21</v>
      </c>
      <c r="AL24" s="16">
        <f t="shared" si="13"/>
        <v>51301.119999999995</v>
      </c>
      <c r="AM24" s="17"/>
      <c r="AN24" s="18">
        <f t="shared" si="14"/>
        <v>51301.119999999995</v>
      </c>
      <c r="AO24" s="16">
        <f t="shared" si="15"/>
        <v>93567.95</v>
      </c>
      <c r="AP24" s="17">
        <f>93567.95</f>
        <v>93567.95</v>
      </c>
      <c r="AQ24" s="18">
        <f t="shared" si="16"/>
        <v>0</v>
      </c>
      <c r="AR24" s="19">
        <f t="shared" si="17"/>
        <v>0</v>
      </c>
      <c r="AS24" s="17"/>
      <c r="AT24" s="20">
        <f t="shared" si="18"/>
        <v>0</v>
      </c>
      <c r="AU24" s="19">
        <f t="shared" si="19"/>
        <v>0</v>
      </c>
      <c r="AV24" s="17"/>
      <c r="AW24" s="20">
        <f t="shared" si="20"/>
        <v>0</v>
      </c>
      <c r="AX24" s="19">
        <f t="shared" si="21"/>
        <v>0</v>
      </c>
      <c r="AY24" s="17"/>
      <c r="AZ24" s="20">
        <f t="shared" si="22"/>
        <v>0</v>
      </c>
      <c r="BA24" s="19">
        <f t="shared" si="23"/>
        <v>0</v>
      </c>
      <c r="BB24" s="17"/>
      <c r="BC24" s="20">
        <f t="shared" si="25"/>
        <v>0</v>
      </c>
      <c r="BD24" s="21">
        <f t="shared" si="29"/>
        <v>144401.21000000002</v>
      </c>
      <c r="BE24" s="22"/>
    </row>
    <row r="25" spans="4:57" s="6" customFormat="1" x14ac:dyDescent="0.25">
      <c r="D25" s="37"/>
      <c r="E25" s="37">
        <v>2610</v>
      </c>
      <c r="F25" s="39" t="s">
        <v>52</v>
      </c>
      <c r="G25" s="24">
        <v>80000</v>
      </c>
      <c r="H25" s="24">
        <f>80000-80000</f>
        <v>0</v>
      </c>
      <c r="I25" s="24">
        <f>80000-15456.36-20858.71+7507.88</f>
        <v>51192.81</v>
      </c>
      <c r="J25" s="24">
        <f>100000+80000+15456.36+97719.72+6688</f>
        <v>299864.07999999996</v>
      </c>
      <c r="K25" s="24">
        <f>100000+20858.71-105227.6+188813.54+16525.67</f>
        <v>220970.32</v>
      </c>
      <c r="L25" s="24">
        <f>100000-48813.54-44401.21+77187.66+47993.38</f>
        <v>131966.29</v>
      </c>
      <c r="M25" s="24">
        <f>100000+16128.33+42266.83</f>
        <v>158395.16</v>
      </c>
      <c r="N25" s="24">
        <f>60000-16128.33-43871.67</f>
        <v>0</v>
      </c>
      <c r="O25" s="24">
        <f>60000-60000+3877.96</f>
        <v>3877.96</v>
      </c>
      <c r="P25" s="24">
        <f>40000-40000+3733.38</f>
        <v>3733.38</v>
      </c>
      <c r="Q25" s="24">
        <f>100000-100000+14401.21-14401.21</f>
        <v>0</v>
      </c>
      <c r="R25" s="24">
        <f>50000+30000-1181.61-71207.05-3877.96-3733.38</f>
        <v>-3.637978807091713E-12</v>
      </c>
      <c r="S25" s="15">
        <f t="shared" si="0"/>
        <v>950000</v>
      </c>
      <c r="T25" s="16">
        <f t="shared" si="1"/>
        <v>80000</v>
      </c>
      <c r="U25" s="17">
        <v>4334.59</v>
      </c>
      <c r="V25" s="18">
        <f t="shared" si="2"/>
        <v>75665.41</v>
      </c>
      <c r="W25" s="16">
        <f t="shared" si="3"/>
        <v>75665.41</v>
      </c>
      <c r="X25" s="17">
        <v>63387.07</v>
      </c>
      <c r="Y25" s="18">
        <f t="shared" si="4"/>
        <v>12278.340000000004</v>
      </c>
      <c r="Z25" s="16">
        <f t="shared" si="5"/>
        <v>63471.15</v>
      </c>
      <c r="AA25" s="17">
        <f>55963.27</f>
        <v>55963.27</v>
      </c>
      <c r="AB25" s="18">
        <f t="shared" si="6"/>
        <v>7507.8800000000047</v>
      </c>
      <c r="AC25" s="16">
        <f t="shared" si="7"/>
        <v>307371.95999999996</v>
      </c>
      <c r="AD25" s="17">
        <f>162895.44+137788.52</f>
        <v>300683.95999999996</v>
      </c>
      <c r="AE25" s="18">
        <f t="shared" si="8"/>
        <v>6688</v>
      </c>
      <c r="AF25" s="16">
        <f t="shared" si="9"/>
        <v>227658.32</v>
      </c>
      <c r="AG25" s="17">
        <v>204444.65</v>
      </c>
      <c r="AH25" s="18">
        <f t="shared" si="10"/>
        <v>23213.670000000013</v>
      </c>
      <c r="AI25" s="16">
        <f t="shared" si="11"/>
        <v>155179.96000000002</v>
      </c>
      <c r="AJ25" s="17"/>
      <c r="AK25" s="18">
        <f t="shared" si="12"/>
        <v>155179.96000000002</v>
      </c>
      <c r="AL25" s="16">
        <f t="shared" si="13"/>
        <v>313575.12</v>
      </c>
      <c r="AM25" s="17">
        <f>122913.58+119454.49</f>
        <v>242368.07</v>
      </c>
      <c r="AN25" s="18">
        <f t="shared" si="14"/>
        <v>71207.049999999988</v>
      </c>
      <c r="AO25" s="16">
        <f t="shared" si="15"/>
        <v>71207.049999999988</v>
      </c>
      <c r="AP25" s="17">
        <f>71207.05</f>
        <v>71207.05</v>
      </c>
      <c r="AQ25" s="18">
        <f t="shared" si="16"/>
        <v>0</v>
      </c>
      <c r="AR25" s="19">
        <f t="shared" si="17"/>
        <v>3877.96</v>
      </c>
      <c r="AS25" s="17">
        <f>3877.96</f>
        <v>3877.96</v>
      </c>
      <c r="AT25" s="20">
        <f t="shared" si="18"/>
        <v>0</v>
      </c>
      <c r="AU25" s="19">
        <f t="shared" si="19"/>
        <v>3733.38</v>
      </c>
      <c r="AV25" s="17">
        <v>3733.38</v>
      </c>
      <c r="AW25" s="20">
        <f t="shared" si="20"/>
        <v>0</v>
      </c>
      <c r="AX25" s="19">
        <f t="shared" si="21"/>
        <v>0</v>
      </c>
      <c r="AY25" s="17"/>
      <c r="AZ25" s="20">
        <f t="shared" si="22"/>
        <v>0</v>
      </c>
      <c r="BA25" s="19">
        <f t="shared" si="23"/>
        <v>-3.637978807091713E-12</v>
      </c>
      <c r="BB25" s="17"/>
      <c r="BC25" s="20">
        <f t="shared" si="25"/>
        <v>-3.637978807091713E-12</v>
      </c>
      <c r="BD25" s="21">
        <f t="shared" si="29"/>
        <v>950000</v>
      </c>
      <c r="BE25" s="22"/>
    </row>
    <row r="26" spans="4:57" s="6" customFormat="1" x14ac:dyDescent="0.25">
      <c r="D26" s="37"/>
      <c r="E26" s="37"/>
      <c r="F26" s="39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5">
        <f t="shared" si="0"/>
        <v>0</v>
      </c>
      <c r="T26" s="16">
        <f t="shared" si="1"/>
        <v>0</v>
      </c>
      <c r="U26" s="17"/>
      <c r="V26" s="18">
        <f t="shared" si="2"/>
        <v>0</v>
      </c>
      <c r="W26" s="16">
        <f t="shared" si="3"/>
        <v>0</v>
      </c>
      <c r="X26" s="17"/>
      <c r="Y26" s="18">
        <f t="shared" si="4"/>
        <v>0</v>
      </c>
      <c r="Z26" s="16">
        <f t="shared" si="5"/>
        <v>0</v>
      </c>
      <c r="AA26" s="17"/>
      <c r="AB26" s="18">
        <f t="shared" si="6"/>
        <v>0</v>
      </c>
      <c r="AC26" s="16">
        <f t="shared" si="7"/>
        <v>0</v>
      </c>
      <c r="AD26" s="17"/>
      <c r="AE26" s="18">
        <f t="shared" si="8"/>
        <v>0</v>
      </c>
      <c r="AF26" s="16">
        <f t="shared" si="9"/>
        <v>0</v>
      </c>
      <c r="AG26" s="17"/>
      <c r="AH26" s="18">
        <f t="shared" si="10"/>
        <v>0</v>
      </c>
      <c r="AI26" s="16">
        <f t="shared" si="11"/>
        <v>0</v>
      </c>
      <c r="AJ26" s="17"/>
      <c r="AK26" s="18">
        <f t="shared" si="12"/>
        <v>0</v>
      </c>
      <c r="AL26" s="16">
        <f t="shared" si="13"/>
        <v>0</v>
      </c>
      <c r="AM26" s="17"/>
      <c r="AN26" s="18">
        <f t="shared" si="14"/>
        <v>0</v>
      </c>
      <c r="AO26" s="16">
        <f t="shared" si="15"/>
        <v>0</v>
      </c>
      <c r="AP26" s="17"/>
      <c r="AQ26" s="18">
        <f t="shared" si="16"/>
        <v>0</v>
      </c>
      <c r="AR26" s="19">
        <f t="shared" si="17"/>
        <v>0</v>
      </c>
      <c r="AS26" s="17"/>
      <c r="AT26" s="20">
        <f t="shared" si="18"/>
        <v>0</v>
      </c>
      <c r="AU26" s="19">
        <f t="shared" si="19"/>
        <v>0</v>
      </c>
      <c r="AV26" s="17"/>
      <c r="AW26" s="20">
        <f t="shared" si="20"/>
        <v>0</v>
      </c>
      <c r="AX26" s="19">
        <f t="shared" si="21"/>
        <v>0</v>
      </c>
      <c r="AY26" s="17"/>
      <c r="AZ26" s="20">
        <f t="shared" si="22"/>
        <v>0</v>
      </c>
      <c r="BA26" s="19">
        <f t="shared" si="23"/>
        <v>0</v>
      </c>
      <c r="BB26" s="17"/>
      <c r="BC26" s="20">
        <f t="shared" si="25"/>
        <v>0</v>
      </c>
      <c r="BD26" s="21"/>
      <c r="BE26" s="22"/>
    </row>
  </sheetData>
  <mergeCells count="31">
    <mergeCell ref="D1:D4"/>
    <mergeCell ref="E1:E4"/>
    <mergeCell ref="F1:F4"/>
    <mergeCell ref="G1:R2"/>
    <mergeCell ref="S1:S4"/>
    <mergeCell ref="P3:P4"/>
    <mergeCell ref="Q3:Q4"/>
    <mergeCell ref="R3:R4"/>
    <mergeCell ref="AL3:AN3"/>
    <mergeCell ref="BD1:BD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T1:AB2"/>
    <mergeCell ref="T3:V3"/>
    <mergeCell ref="W3:Y3"/>
    <mergeCell ref="Z3:AB3"/>
    <mergeCell ref="AC3:AE3"/>
    <mergeCell ref="AF3:AH3"/>
    <mergeCell ref="AI3:AK3"/>
    <mergeCell ref="AO3:AQ3"/>
    <mergeCell ref="AR3:AT3"/>
    <mergeCell ref="AU3:AW3"/>
    <mergeCell ref="AX3:AZ3"/>
    <mergeCell ref="BA3:BC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F25"/>
  <sheetViews>
    <sheetView tabSelected="1" topLeftCell="D1" workbookViewId="0">
      <selection activeCell="BH15" sqref="BH15"/>
    </sheetView>
  </sheetViews>
  <sheetFormatPr defaultRowHeight="15.75" x14ac:dyDescent="0.25"/>
  <cols>
    <col min="1" max="3" width="9.140625" style="1" hidden="1" customWidth="1"/>
    <col min="4" max="4" width="6.5703125" style="1" customWidth="1"/>
    <col min="5" max="5" width="7.5703125" style="1" customWidth="1"/>
    <col min="6" max="6" width="55.5703125" style="1" customWidth="1"/>
    <col min="7" max="7" width="17" style="44" hidden="1" customWidth="1"/>
    <col min="8" max="9" width="15" style="44" hidden="1" customWidth="1"/>
    <col min="10" max="10" width="15.28515625" style="44" hidden="1" customWidth="1"/>
    <col min="11" max="11" width="14.7109375" style="44" hidden="1" customWidth="1"/>
    <col min="12" max="12" width="14.85546875" style="44" hidden="1" customWidth="1"/>
    <col min="13" max="13" width="15.140625" style="44" hidden="1" customWidth="1"/>
    <col min="14" max="14" width="14.140625" style="44" hidden="1" customWidth="1"/>
    <col min="15" max="15" width="14.42578125" style="44" hidden="1" customWidth="1"/>
    <col min="16" max="16" width="15.28515625" style="44" hidden="1" customWidth="1"/>
    <col min="17" max="17" width="14.7109375" style="44" hidden="1" customWidth="1"/>
    <col min="18" max="18" width="15.5703125" style="44" hidden="1" customWidth="1"/>
    <col min="19" max="19" width="17.140625" style="45" hidden="1" customWidth="1"/>
    <col min="20" max="20" width="14.42578125" style="3" hidden="1" customWidth="1"/>
    <col min="21" max="21" width="15.42578125" style="4" hidden="1" customWidth="1"/>
    <col min="22" max="22" width="15" style="3" hidden="1" customWidth="1"/>
    <col min="23" max="23" width="14.42578125" style="3" hidden="1" customWidth="1"/>
    <col min="24" max="24" width="15.42578125" style="4" hidden="1" customWidth="1"/>
    <col min="25" max="25" width="14.28515625" style="3" hidden="1" customWidth="1"/>
    <col min="26" max="26" width="15.28515625" style="3" hidden="1" customWidth="1"/>
    <col min="27" max="27" width="15.5703125" style="4" hidden="1" customWidth="1"/>
    <col min="28" max="29" width="15.42578125" style="3" hidden="1" customWidth="1"/>
    <col min="30" max="30" width="15.5703125" style="4" hidden="1" customWidth="1"/>
    <col min="31" max="31" width="15.42578125" style="3" hidden="1" customWidth="1"/>
    <col min="32" max="32" width="15" style="3" hidden="1" customWidth="1"/>
    <col min="33" max="33" width="15.5703125" style="4" hidden="1" customWidth="1"/>
    <col min="34" max="35" width="15.5703125" style="3" hidden="1" customWidth="1"/>
    <col min="36" max="36" width="15.5703125" style="4" hidden="1" customWidth="1"/>
    <col min="37" max="37" width="15.85546875" style="3" hidden="1" customWidth="1"/>
    <col min="38" max="38" width="15.42578125" style="3" hidden="1" customWidth="1"/>
    <col min="39" max="39" width="15.5703125" style="4" hidden="1" customWidth="1"/>
    <col min="40" max="40" width="14.85546875" style="3" hidden="1" customWidth="1"/>
    <col min="41" max="41" width="15.42578125" style="3" hidden="1" customWidth="1"/>
    <col min="42" max="42" width="15.5703125" style="4" hidden="1" customWidth="1"/>
    <col min="43" max="43" width="15.5703125" style="3" hidden="1" customWidth="1"/>
    <col min="44" max="44" width="15.42578125" style="3" hidden="1" customWidth="1"/>
    <col min="45" max="45" width="17.140625" style="4" hidden="1" customWidth="1"/>
    <col min="46" max="46" width="15.5703125" style="3" hidden="1" customWidth="1"/>
    <col min="47" max="47" width="15.42578125" style="3" hidden="1" customWidth="1"/>
    <col min="48" max="48" width="17.140625" style="4" hidden="1" customWidth="1"/>
    <col min="49" max="49" width="15.5703125" style="3" hidden="1" customWidth="1"/>
    <col min="50" max="50" width="15.42578125" style="3" hidden="1" customWidth="1"/>
    <col min="51" max="51" width="17.140625" style="4" hidden="1" customWidth="1"/>
    <col min="52" max="52" width="15.5703125" style="3" hidden="1" customWidth="1"/>
    <col min="53" max="53" width="15.42578125" style="3" hidden="1" customWidth="1"/>
    <col min="54" max="54" width="17.140625" style="4" hidden="1" customWidth="1"/>
    <col min="55" max="55" width="15.5703125" style="3" hidden="1" customWidth="1"/>
    <col min="56" max="56" width="16.85546875" style="4" customWidth="1"/>
    <col min="57" max="57" width="15.140625" style="5" customWidth="1"/>
    <col min="58" max="58" width="14" style="6" bestFit="1" customWidth="1"/>
    <col min="59" max="59" width="11.28515625" style="6" bestFit="1" customWidth="1"/>
    <col min="60" max="60" width="12.85546875" style="6" customWidth="1"/>
    <col min="61" max="61" width="9.5703125" style="6" bestFit="1" customWidth="1"/>
    <col min="62" max="214" width="9.140625" style="6"/>
    <col min="215" max="256" width="9.140625" style="1"/>
    <col min="257" max="259" width="0" style="1" hidden="1" customWidth="1"/>
    <col min="260" max="260" width="6.5703125" style="1" customWidth="1"/>
    <col min="261" max="261" width="7.5703125" style="1" customWidth="1"/>
    <col min="262" max="262" width="55.5703125" style="1" customWidth="1"/>
    <col min="263" max="311" width="0" style="1" hidden="1" customWidth="1"/>
    <col min="312" max="312" width="16.85546875" style="1" customWidth="1"/>
    <col min="313" max="313" width="15.140625" style="1" customWidth="1"/>
    <col min="314" max="314" width="14" style="1" bestFit="1" customWidth="1"/>
    <col min="315" max="315" width="11.28515625" style="1" bestFit="1" customWidth="1"/>
    <col min="316" max="316" width="12.85546875" style="1" customWidth="1"/>
    <col min="317" max="317" width="9.5703125" style="1" bestFit="1" customWidth="1"/>
    <col min="318" max="512" width="9.140625" style="1"/>
    <col min="513" max="515" width="0" style="1" hidden="1" customWidth="1"/>
    <col min="516" max="516" width="6.5703125" style="1" customWidth="1"/>
    <col min="517" max="517" width="7.5703125" style="1" customWidth="1"/>
    <col min="518" max="518" width="55.5703125" style="1" customWidth="1"/>
    <col min="519" max="567" width="0" style="1" hidden="1" customWidth="1"/>
    <col min="568" max="568" width="16.85546875" style="1" customWidth="1"/>
    <col min="569" max="569" width="15.140625" style="1" customWidth="1"/>
    <col min="570" max="570" width="14" style="1" bestFit="1" customWidth="1"/>
    <col min="571" max="571" width="11.28515625" style="1" bestFit="1" customWidth="1"/>
    <col min="572" max="572" width="12.85546875" style="1" customWidth="1"/>
    <col min="573" max="573" width="9.5703125" style="1" bestFit="1" customWidth="1"/>
    <col min="574" max="768" width="9.140625" style="1"/>
    <col min="769" max="771" width="0" style="1" hidden="1" customWidth="1"/>
    <col min="772" max="772" width="6.5703125" style="1" customWidth="1"/>
    <col min="773" max="773" width="7.5703125" style="1" customWidth="1"/>
    <col min="774" max="774" width="55.5703125" style="1" customWidth="1"/>
    <col min="775" max="823" width="0" style="1" hidden="1" customWidth="1"/>
    <col min="824" max="824" width="16.85546875" style="1" customWidth="1"/>
    <col min="825" max="825" width="15.140625" style="1" customWidth="1"/>
    <col min="826" max="826" width="14" style="1" bestFit="1" customWidth="1"/>
    <col min="827" max="827" width="11.28515625" style="1" bestFit="1" customWidth="1"/>
    <col min="828" max="828" width="12.85546875" style="1" customWidth="1"/>
    <col min="829" max="829" width="9.5703125" style="1" bestFit="1" customWidth="1"/>
    <col min="830" max="1024" width="9.140625" style="1"/>
    <col min="1025" max="1027" width="0" style="1" hidden="1" customWidth="1"/>
    <col min="1028" max="1028" width="6.5703125" style="1" customWidth="1"/>
    <col min="1029" max="1029" width="7.5703125" style="1" customWidth="1"/>
    <col min="1030" max="1030" width="55.5703125" style="1" customWidth="1"/>
    <col min="1031" max="1079" width="0" style="1" hidden="1" customWidth="1"/>
    <col min="1080" max="1080" width="16.85546875" style="1" customWidth="1"/>
    <col min="1081" max="1081" width="15.140625" style="1" customWidth="1"/>
    <col min="1082" max="1082" width="14" style="1" bestFit="1" customWidth="1"/>
    <col min="1083" max="1083" width="11.28515625" style="1" bestFit="1" customWidth="1"/>
    <col min="1084" max="1084" width="12.85546875" style="1" customWidth="1"/>
    <col min="1085" max="1085" width="9.5703125" style="1" bestFit="1" customWidth="1"/>
    <col min="1086" max="1280" width="9.140625" style="1"/>
    <col min="1281" max="1283" width="0" style="1" hidden="1" customWidth="1"/>
    <col min="1284" max="1284" width="6.5703125" style="1" customWidth="1"/>
    <col min="1285" max="1285" width="7.5703125" style="1" customWidth="1"/>
    <col min="1286" max="1286" width="55.5703125" style="1" customWidth="1"/>
    <col min="1287" max="1335" width="0" style="1" hidden="1" customWidth="1"/>
    <col min="1336" max="1336" width="16.85546875" style="1" customWidth="1"/>
    <col min="1337" max="1337" width="15.140625" style="1" customWidth="1"/>
    <col min="1338" max="1338" width="14" style="1" bestFit="1" customWidth="1"/>
    <col min="1339" max="1339" width="11.28515625" style="1" bestFit="1" customWidth="1"/>
    <col min="1340" max="1340" width="12.85546875" style="1" customWidth="1"/>
    <col min="1341" max="1341" width="9.5703125" style="1" bestFit="1" customWidth="1"/>
    <col min="1342" max="1536" width="9.140625" style="1"/>
    <col min="1537" max="1539" width="0" style="1" hidden="1" customWidth="1"/>
    <col min="1540" max="1540" width="6.5703125" style="1" customWidth="1"/>
    <col min="1541" max="1541" width="7.5703125" style="1" customWidth="1"/>
    <col min="1542" max="1542" width="55.5703125" style="1" customWidth="1"/>
    <col min="1543" max="1591" width="0" style="1" hidden="1" customWidth="1"/>
    <col min="1592" max="1592" width="16.85546875" style="1" customWidth="1"/>
    <col min="1593" max="1593" width="15.140625" style="1" customWidth="1"/>
    <col min="1594" max="1594" width="14" style="1" bestFit="1" customWidth="1"/>
    <col min="1595" max="1595" width="11.28515625" style="1" bestFit="1" customWidth="1"/>
    <col min="1596" max="1596" width="12.85546875" style="1" customWidth="1"/>
    <col min="1597" max="1597" width="9.5703125" style="1" bestFit="1" customWidth="1"/>
    <col min="1598" max="1792" width="9.140625" style="1"/>
    <col min="1793" max="1795" width="0" style="1" hidden="1" customWidth="1"/>
    <col min="1796" max="1796" width="6.5703125" style="1" customWidth="1"/>
    <col min="1797" max="1797" width="7.5703125" style="1" customWidth="1"/>
    <col min="1798" max="1798" width="55.5703125" style="1" customWidth="1"/>
    <col min="1799" max="1847" width="0" style="1" hidden="1" customWidth="1"/>
    <col min="1848" max="1848" width="16.85546875" style="1" customWidth="1"/>
    <col min="1849" max="1849" width="15.140625" style="1" customWidth="1"/>
    <col min="1850" max="1850" width="14" style="1" bestFit="1" customWidth="1"/>
    <col min="1851" max="1851" width="11.28515625" style="1" bestFit="1" customWidth="1"/>
    <col min="1852" max="1852" width="12.85546875" style="1" customWidth="1"/>
    <col min="1853" max="1853" width="9.5703125" style="1" bestFit="1" customWidth="1"/>
    <col min="1854" max="2048" width="9.140625" style="1"/>
    <col min="2049" max="2051" width="0" style="1" hidden="1" customWidth="1"/>
    <col min="2052" max="2052" width="6.5703125" style="1" customWidth="1"/>
    <col min="2053" max="2053" width="7.5703125" style="1" customWidth="1"/>
    <col min="2054" max="2054" width="55.5703125" style="1" customWidth="1"/>
    <col min="2055" max="2103" width="0" style="1" hidden="1" customWidth="1"/>
    <col min="2104" max="2104" width="16.85546875" style="1" customWidth="1"/>
    <col min="2105" max="2105" width="15.140625" style="1" customWidth="1"/>
    <col min="2106" max="2106" width="14" style="1" bestFit="1" customWidth="1"/>
    <col min="2107" max="2107" width="11.28515625" style="1" bestFit="1" customWidth="1"/>
    <col min="2108" max="2108" width="12.85546875" style="1" customWidth="1"/>
    <col min="2109" max="2109" width="9.5703125" style="1" bestFit="1" customWidth="1"/>
    <col min="2110" max="2304" width="9.140625" style="1"/>
    <col min="2305" max="2307" width="0" style="1" hidden="1" customWidth="1"/>
    <col min="2308" max="2308" width="6.5703125" style="1" customWidth="1"/>
    <col min="2309" max="2309" width="7.5703125" style="1" customWidth="1"/>
    <col min="2310" max="2310" width="55.5703125" style="1" customWidth="1"/>
    <col min="2311" max="2359" width="0" style="1" hidden="1" customWidth="1"/>
    <col min="2360" max="2360" width="16.85546875" style="1" customWidth="1"/>
    <col min="2361" max="2361" width="15.140625" style="1" customWidth="1"/>
    <col min="2362" max="2362" width="14" style="1" bestFit="1" customWidth="1"/>
    <col min="2363" max="2363" width="11.28515625" style="1" bestFit="1" customWidth="1"/>
    <col min="2364" max="2364" width="12.85546875" style="1" customWidth="1"/>
    <col min="2365" max="2365" width="9.5703125" style="1" bestFit="1" customWidth="1"/>
    <col min="2366" max="2560" width="9.140625" style="1"/>
    <col min="2561" max="2563" width="0" style="1" hidden="1" customWidth="1"/>
    <col min="2564" max="2564" width="6.5703125" style="1" customWidth="1"/>
    <col min="2565" max="2565" width="7.5703125" style="1" customWidth="1"/>
    <col min="2566" max="2566" width="55.5703125" style="1" customWidth="1"/>
    <col min="2567" max="2615" width="0" style="1" hidden="1" customWidth="1"/>
    <col min="2616" max="2616" width="16.85546875" style="1" customWidth="1"/>
    <col min="2617" max="2617" width="15.140625" style="1" customWidth="1"/>
    <col min="2618" max="2618" width="14" style="1" bestFit="1" customWidth="1"/>
    <col min="2619" max="2619" width="11.28515625" style="1" bestFit="1" customWidth="1"/>
    <col min="2620" max="2620" width="12.85546875" style="1" customWidth="1"/>
    <col min="2621" max="2621" width="9.5703125" style="1" bestFit="1" customWidth="1"/>
    <col min="2622" max="2816" width="9.140625" style="1"/>
    <col min="2817" max="2819" width="0" style="1" hidden="1" customWidth="1"/>
    <col min="2820" max="2820" width="6.5703125" style="1" customWidth="1"/>
    <col min="2821" max="2821" width="7.5703125" style="1" customWidth="1"/>
    <col min="2822" max="2822" width="55.5703125" style="1" customWidth="1"/>
    <col min="2823" max="2871" width="0" style="1" hidden="1" customWidth="1"/>
    <col min="2872" max="2872" width="16.85546875" style="1" customWidth="1"/>
    <col min="2873" max="2873" width="15.140625" style="1" customWidth="1"/>
    <col min="2874" max="2874" width="14" style="1" bestFit="1" customWidth="1"/>
    <col min="2875" max="2875" width="11.28515625" style="1" bestFit="1" customWidth="1"/>
    <col min="2876" max="2876" width="12.85546875" style="1" customWidth="1"/>
    <col min="2877" max="2877" width="9.5703125" style="1" bestFit="1" customWidth="1"/>
    <col min="2878" max="3072" width="9.140625" style="1"/>
    <col min="3073" max="3075" width="0" style="1" hidden="1" customWidth="1"/>
    <col min="3076" max="3076" width="6.5703125" style="1" customWidth="1"/>
    <col min="3077" max="3077" width="7.5703125" style="1" customWidth="1"/>
    <col min="3078" max="3078" width="55.5703125" style="1" customWidth="1"/>
    <col min="3079" max="3127" width="0" style="1" hidden="1" customWidth="1"/>
    <col min="3128" max="3128" width="16.85546875" style="1" customWidth="1"/>
    <col min="3129" max="3129" width="15.140625" style="1" customWidth="1"/>
    <col min="3130" max="3130" width="14" style="1" bestFit="1" customWidth="1"/>
    <col min="3131" max="3131" width="11.28515625" style="1" bestFit="1" customWidth="1"/>
    <col min="3132" max="3132" width="12.85546875" style="1" customWidth="1"/>
    <col min="3133" max="3133" width="9.5703125" style="1" bestFit="1" customWidth="1"/>
    <col min="3134" max="3328" width="9.140625" style="1"/>
    <col min="3329" max="3331" width="0" style="1" hidden="1" customWidth="1"/>
    <col min="3332" max="3332" width="6.5703125" style="1" customWidth="1"/>
    <col min="3333" max="3333" width="7.5703125" style="1" customWidth="1"/>
    <col min="3334" max="3334" width="55.5703125" style="1" customWidth="1"/>
    <col min="3335" max="3383" width="0" style="1" hidden="1" customWidth="1"/>
    <col min="3384" max="3384" width="16.85546875" style="1" customWidth="1"/>
    <col min="3385" max="3385" width="15.140625" style="1" customWidth="1"/>
    <col min="3386" max="3386" width="14" style="1" bestFit="1" customWidth="1"/>
    <col min="3387" max="3387" width="11.28515625" style="1" bestFit="1" customWidth="1"/>
    <col min="3388" max="3388" width="12.85546875" style="1" customWidth="1"/>
    <col min="3389" max="3389" width="9.5703125" style="1" bestFit="1" customWidth="1"/>
    <col min="3390" max="3584" width="9.140625" style="1"/>
    <col min="3585" max="3587" width="0" style="1" hidden="1" customWidth="1"/>
    <col min="3588" max="3588" width="6.5703125" style="1" customWidth="1"/>
    <col min="3589" max="3589" width="7.5703125" style="1" customWidth="1"/>
    <col min="3590" max="3590" width="55.5703125" style="1" customWidth="1"/>
    <col min="3591" max="3639" width="0" style="1" hidden="1" customWidth="1"/>
    <col min="3640" max="3640" width="16.85546875" style="1" customWidth="1"/>
    <col min="3641" max="3641" width="15.140625" style="1" customWidth="1"/>
    <col min="3642" max="3642" width="14" style="1" bestFit="1" customWidth="1"/>
    <col min="3643" max="3643" width="11.28515625" style="1" bestFit="1" customWidth="1"/>
    <col min="3644" max="3644" width="12.85546875" style="1" customWidth="1"/>
    <col min="3645" max="3645" width="9.5703125" style="1" bestFit="1" customWidth="1"/>
    <col min="3646" max="3840" width="9.140625" style="1"/>
    <col min="3841" max="3843" width="0" style="1" hidden="1" customWidth="1"/>
    <col min="3844" max="3844" width="6.5703125" style="1" customWidth="1"/>
    <col min="3845" max="3845" width="7.5703125" style="1" customWidth="1"/>
    <col min="3846" max="3846" width="55.5703125" style="1" customWidth="1"/>
    <col min="3847" max="3895" width="0" style="1" hidden="1" customWidth="1"/>
    <col min="3896" max="3896" width="16.85546875" style="1" customWidth="1"/>
    <col min="3897" max="3897" width="15.140625" style="1" customWidth="1"/>
    <col min="3898" max="3898" width="14" style="1" bestFit="1" customWidth="1"/>
    <col min="3899" max="3899" width="11.28515625" style="1" bestFit="1" customWidth="1"/>
    <col min="3900" max="3900" width="12.85546875" style="1" customWidth="1"/>
    <col min="3901" max="3901" width="9.5703125" style="1" bestFit="1" customWidth="1"/>
    <col min="3902" max="4096" width="9.140625" style="1"/>
    <col min="4097" max="4099" width="0" style="1" hidden="1" customWidth="1"/>
    <col min="4100" max="4100" width="6.5703125" style="1" customWidth="1"/>
    <col min="4101" max="4101" width="7.5703125" style="1" customWidth="1"/>
    <col min="4102" max="4102" width="55.5703125" style="1" customWidth="1"/>
    <col min="4103" max="4151" width="0" style="1" hidden="1" customWidth="1"/>
    <col min="4152" max="4152" width="16.85546875" style="1" customWidth="1"/>
    <col min="4153" max="4153" width="15.140625" style="1" customWidth="1"/>
    <col min="4154" max="4154" width="14" style="1" bestFit="1" customWidth="1"/>
    <col min="4155" max="4155" width="11.28515625" style="1" bestFit="1" customWidth="1"/>
    <col min="4156" max="4156" width="12.85546875" style="1" customWidth="1"/>
    <col min="4157" max="4157" width="9.5703125" style="1" bestFit="1" customWidth="1"/>
    <col min="4158" max="4352" width="9.140625" style="1"/>
    <col min="4353" max="4355" width="0" style="1" hidden="1" customWidth="1"/>
    <col min="4356" max="4356" width="6.5703125" style="1" customWidth="1"/>
    <col min="4357" max="4357" width="7.5703125" style="1" customWidth="1"/>
    <col min="4358" max="4358" width="55.5703125" style="1" customWidth="1"/>
    <col min="4359" max="4407" width="0" style="1" hidden="1" customWidth="1"/>
    <col min="4408" max="4408" width="16.85546875" style="1" customWidth="1"/>
    <col min="4409" max="4409" width="15.140625" style="1" customWidth="1"/>
    <col min="4410" max="4410" width="14" style="1" bestFit="1" customWidth="1"/>
    <col min="4411" max="4411" width="11.28515625" style="1" bestFit="1" customWidth="1"/>
    <col min="4412" max="4412" width="12.85546875" style="1" customWidth="1"/>
    <col min="4413" max="4413" width="9.5703125" style="1" bestFit="1" customWidth="1"/>
    <col min="4414" max="4608" width="9.140625" style="1"/>
    <col min="4609" max="4611" width="0" style="1" hidden="1" customWidth="1"/>
    <col min="4612" max="4612" width="6.5703125" style="1" customWidth="1"/>
    <col min="4613" max="4613" width="7.5703125" style="1" customWidth="1"/>
    <col min="4614" max="4614" width="55.5703125" style="1" customWidth="1"/>
    <col min="4615" max="4663" width="0" style="1" hidden="1" customWidth="1"/>
    <col min="4664" max="4664" width="16.85546875" style="1" customWidth="1"/>
    <col min="4665" max="4665" width="15.140625" style="1" customWidth="1"/>
    <col min="4666" max="4666" width="14" style="1" bestFit="1" customWidth="1"/>
    <col min="4667" max="4667" width="11.28515625" style="1" bestFit="1" customWidth="1"/>
    <col min="4668" max="4668" width="12.85546875" style="1" customWidth="1"/>
    <col min="4669" max="4669" width="9.5703125" style="1" bestFit="1" customWidth="1"/>
    <col min="4670" max="4864" width="9.140625" style="1"/>
    <col min="4865" max="4867" width="0" style="1" hidden="1" customWidth="1"/>
    <col min="4868" max="4868" width="6.5703125" style="1" customWidth="1"/>
    <col min="4869" max="4869" width="7.5703125" style="1" customWidth="1"/>
    <col min="4870" max="4870" width="55.5703125" style="1" customWidth="1"/>
    <col min="4871" max="4919" width="0" style="1" hidden="1" customWidth="1"/>
    <col min="4920" max="4920" width="16.85546875" style="1" customWidth="1"/>
    <col min="4921" max="4921" width="15.140625" style="1" customWidth="1"/>
    <col min="4922" max="4922" width="14" style="1" bestFit="1" customWidth="1"/>
    <col min="4923" max="4923" width="11.28515625" style="1" bestFit="1" customWidth="1"/>
    <col min="4924" max="4924" width="12.85546875" style="1" customWidth="1"/>
    <col min="4925" max="4925" width="9.5703125" style="1" bestFit="1" customWidth="1"/>
    <col min="4926" max="5120" width="9.140625" style="1"/>
    <col min="5121" max="5123" width="0" style="1" hidden="1" customWidth="1"/>
    <col min="5124" max="5124" width="6.5703125" style="1" customWidth="1"/>
    <col min="5125" max="5125" width="7.5703125" style="1" customWidth="1"/>
    <col min="5126" max="5126" width="55.5703125" style="1" customWidth="1"/>
    <col min="5127" max="5175" width="0" style="1" hidden="1" customWidth="1"/>
    <col min="5176" max="5176" width="16.85546875" style="1" customWidth="1"/>
    <col min="5177" max="5177" width="15.140625" style="1" customWidth="1"/>
    <col min="5178" max="5178" width="14" style="1" bestFit="1" customWidth="1"/>
    <col min="5179" max="5179" width="11.28515625" style="1" bestFit="1" customWidth="1"/>
    <col min="5180" max="5180" width="12.85546875" style="1" customWidth="1"/>
    <col min="5181" max="5181" width="9.5703125" style="1" bestFit="1" customWidth="1"/>
    <col min="5182" max="5376" width="9.140625" style="1"/>
    <col min="5377" max="5379" width="0" style="1" hidden="1" customWidth="1"/>
    <col min="5380" max="5380" width="6.5703125" style="1" customWidth="1"/>
    <col min="5381" max="5381" width="7.5703125" style="1" customWidth="1"/>
    <col min="5382" max="5382" width="55.5703125" style="1" customWidth="1"/>
    <col min="5383" max="5431" width="0" style="1" hidden="1" customWidth="1"/>
    <col min="5432" max="5432" width="16.85546875" style="1" customWidth="1"/>
    <col min="5433" max="5433" width="15.140625" style="1" customWidth="1"/>
    <col min="5434" max="5434" width="14" style="1" bestFit="1" customWidth="1"/>
    <col min="5435" max="5435" width="11.28515625" style="1" bestFit="1" customWidth="1"/>
    <col min="5436" max="5436" width="12.85546875" style="1" customWidth="1"/>
    <col min="5437" max="5437" width="9.5703125" style="1" bestFit="1" customWidth="1"/>
    <col min="5438" max="5632" width="9.140625" style="1"/>
    <col min="5633" max="5635" width="0" style="1" hidden="1" customWidth="1"/>
    <col min="5636" max="5636" width="6.5703125" style="1" customWidth="1"/>
    <col min="5637" max="5637" width="7.5703125" style="1" customWidth="1"/>
    <col min="5638" max="5638" width="55.5703125" style="1" customWidth="1"/>
    <col min="5639" max="5687" width="0" style="1" hidden="1" customWidth="1"/>
    <col min="5688" max="5688" width="16.85546875" style="1" customWidth="1"/>
    <col min="5689" max="5689" width="15.140625" style="1" customWidth="1"/>
    <col min="5690" max="5690" width="14" style="1" bestFit="1" customWidth="1"/>
    <col min="5691" max="5691" width="11.28515625" style="1" bestFit="1" customWidth="1"/>
    <col min="5692" max="5692" width="12.85546875" style="1" customWidth="1"/>
    <col min="5693" max="5693" width="9.5703125" style="1" bestFit="1" customWidth="1"/>
    <col min="5694" max="5888" width="9.140625" style="1"/>
    <col min="5889" max="5891" width="0" style="1" hidden="1" customWidth="1"/>
    <col min="5892" max="5892" width="6.5703125" style="1" customWidth="1"/>
    <col min="5893" max="5893" width="7.5703125" style="1" customWidth="1"/>
    <col min="5894" max="5894" width="55.5703125" style="1" customWidth="1"/>
    <col min="5895" max="5943" width="0" style="1" hidden="1" customWidth="1"/>
    <col min="5944" max="5944" width="16.85546875" style="1" customWidth="1"/>
    <col min="5945" max="5945" width="15.140625" style="1" customWidth="1"/>
    <col min="5946" max="5946" width="14" style="1" bestFit="1" customWidth="1"/>
    <col min="5947" max="5947" width="11.28515625" style="1" bestFit="1" customWidth="1"/>
    <col min="5948" max="5948" width="12.85546875" style="1" customWidth="1"/>
    <col min="5949" max="5949" width="9.5703125" style="1" bestFit="1" customWidth="1"/>
    <col min="5950" max="6144" width="9.140625" style="1"/>
    <col min="6145" max="6147" width="0" style="1" hidden="1" customWidth="1"/>
    <col min="6148" max="6148" width="6.5703125" style="1" customWidth="1"/>
    <col min="6149" max="6149" width="7.5703125" style="1" customWidth="1"/>
    <col min="6150" max="6150" width="55.5703125" style="1" customWidth="1"/>
    <col min="6151" max="6199" width="0" style="1" hidden="1" customWidth="1"/>
    <col min="6200" max="6200" width="16.85546875" style="1" customWidth="1"/>
    <col min="6201" max="6201" width="15.140625" style="1" customWidth="1"/>
    <col min="6202" max="6202" width="14" style="1" bestFit="1" customWidth="1"/>
    <col min="6203" max="6203" width="11.28515625" style="1" bestFit="1" customWidth="1"/>
    <col min="6204" max="6204" width="12.85546875" style="1" customWidth="1"/>
    <col min="6205" max="6205" width="9.5703125" style="1" bestFit="1" customWidth="1"/>
    <col min="6206" max="6400" width="9.140625" style="1"/>
    <col min="6401" max="6403" width="0" style="1" hidden="1" customWidth="1"/>
    <col min="6404" max="6404" width="6.5703125" style="1" customWidth="1"/>
    <col min="6405" max="6405" width="7.5703125" style="1" customWidth="1"/>
    <col min="6406" max="6406" width="55.5703125" style="1" customWidth="1"/>
    <col min="6407" max="6455" width="0" style="1" hidden="1" customWidth="1"/>
    <col min="6456" max="6456" width="16.85546875" style="1" customWidth="1"/>
    <col min="6457" max="6457" width="15.140625" style="1" customWidth="1"/>
    <col min="6458" max="6458" width="14" style="1" bestFit="1" customWidth="1"/>
    <col min="6459" max="6459" width="11.28515625" style="1" bestFit="1" customWidth="1"/>
    <col min="6460" max="6460" width="12.85546875" style="1" customWidth="1"/>
    <col min="6461" max="6461" width="9.5703125" style="1" bestFit="1" customWidth="1"/>
    <col min="6462" max="6656" width="9.140625" style="1"/>
    <col min="6657" max="6659" width="0" style="1" hidden="1" customWidth="1"/>
    <col min="6660" max="6660" width="6.5703125" style="1" customWidth="1"/>
    <col min="6661" max="6661" width="7.5703125" style="1" customWidth="1"/>
    <col min="6662" max="6662" width="55.5703125" style="1" customWidth="1"/>
    <col min="6663" max="6711" width="0" style="1" hidden="1" customWidth="1"/>
    <col min="6712" max="6712" width="16.85546875" style="1" customWidth="1"/>
    <col min="6713" max="6713" width="15.140625" style="1" customWidth="1"/>
    <col min="6714" max="6714" width="14" style="1" bestFit="1" customWidth="1"/>
    <col min="6715" max="6715" width="11.28515625" style="1" bestFit="1" customWidth="1"/>
    <col min="6716" max="6716" width="12.85546875" style="1" customWidth="1"/>
    <col min="6717" max="6717" width="9.5703125" style="1" bestFit="1" customWidth="1"/>
    <col min="6718" max="6912" width="9.140625" style="1"/>
    <col min="6913" max="6915" width="0" style="1" hidden="1" customWidth="1"/>
    <col min="6916" max="6916" width="6.5703125" style="1" customWidth="1"/>
    <col min="6917" max="6917" width="7.5703125" style="1" customWidth="1"/>
    <col min="6918" max="6918" width="55.5703125" style="1" customWidth="1"/>
    <col min="6919" max="6967" width="0" style="1" hidden="1" customWidth="1"/>
    <col min="6968" max="6968" width="16.85546875" style="1" customWidth="1"/>
    <col min="6969" max="6969" width="15.140625" style="1" customWidth="1"/>
    <col min="6970" max="6970" width="14" style="1" bestFit="1" customWidth="1"/>
    <col min="6971" max="6971" width="11.28515625" style="1" bestFit="1" customWidth="1"/>
    <col min="6972" max="6972" width="12.85546875" style="1" customWidth="1"/>
    <col min="6973" max="6973" width="9.5703125" style="1" bestFit="1" customWidth="1"/>
    <col min="6974" max="7168" width="9.140625" style="1"/>
    <col min="7169" max="7171" width="0" style="1" hidden="1" customWidth="1"/>
    <col min="7172" max="7172" width="6.5703125" style="1" customWidth="1"/>
    <col min="7173" max="7173" width="7.5703125" style="1" customWidth="1"/>
    <col min="7174" max="7174" width="55.5703125" style="1" customWidth="1"/>
    <col min="7175" max="7223" width="0" style="1" hidden="1" customWidth="1"/>
    <col min="7224" max="7224" width="16.85546875" style="1" customWidth="1"/>
    <col min="7225" max="7225" width="15.140625" style="1" customWidth="1"/>
    <col min="7226" max="7226" width="14" style="1" bestFit="1" customWidth="1"/>
    <col min="7227" max="7227" width="11.28515625" style="1" bestFit="1" customWidth="1"/>
    <col min="7228" max="7228" width="12.85546875" style="1" customWidth="1"/>
    <col min="7229" max="7229" width="9.5703125" style="1" bestFit="1" customWidth="1"/>
    <col min="7230" max="7424" width="9.140625" style="1"/>
    <col min="7425" max="7427" width="0" style="1" hidden="1" customWidth="1"/>
    <col min="7428" max="7428" width="6.5703125" style="1" customWidth="1"/>
    <col min="7429" max="7429" width="7.5703125" style="1" customWidth="1"/>
    <col min="7430" max="7430" width="55.5703125" style="1" customWidth="1"/>
    <col min="7431" max="7479" width="0" style="1" hidden="1" customWidth="1"/>
    <col min="7480" max="7480" width="16.85546875" style="1" customWidth="1"/>
    <col min="7481" max="7481" width="15.140625" style="1" customWidth="1"/>
    <col min="7482" max="7482" width="14" style="1" bestFit="1" customWidth="1"/>
    <col min="7483" max="7483" width="11.28515625" style="1" bestFit="1" customWidth="1"/>
    <col min="7484" max="7484" width="12.85546875" style="1" customWidth="1"/>
    <col min="7485" max="7485" width="9.5703125" style="1" bestFit="1" customWidth="1"/>
    <col min="7486" max="7680" width="9.140625" style="1"/>
    <col min="7681" max="7683" width="0" style="1" hidden="1" customWidth="1"/>
    <col min="7684" max="7684" width="6.5703125" style="1" customWidth="1"/>
    <col min="7685" max="7685" width="7.5703125" style="1" customWidth="1"/>
    <col min="7686" max="7686" width="55.5703125" style="1" customWidth="1"/>
    <col min="7687" max="7735" width="0" style="1" hidden="1" customWidth="1"/>
    <col min="7736" max="7736" width="16.85546875" style="1" customWidth="1"/>
    <col min="7737" max="7737" width="15.140625" style="1" customWidth="1"/>
    <col min="7738" max="7738" width="14" style="1" bestFit="1" customWidth="1"/>
    <col min="7739" max="7739" width="11.28515625" style="1" bestFit="1" customWidth="1"/>
    <col min="7740" max="7740" width="12.85546875" style="1" customWidth="1"/>
    <col min="7741" max="7741" width="9.5703125" style="1" bestFit="1" customWidth="1"/>
    <col min="7742" max="7936" width="9.140625" style="1"/>
    <col min="7937" max="7939" width="0" style="1" hidden="1" customWidth="1"/>
    <col min="7940" max="7940" width="6.5703125" style="1" customWidth="1"/>
    <col min="7941" max="7941" width="7.5703125" style="1" customWidth="1"/>
    <col min="7942" max="7942" width="55.5703125" style="1" customWidth="1"/>
    <col min="7943" max="7991" width="0" style="1" hidden="1" customWidth="1"/>
    <col min="7992" max="7992" width="16.85546875" style="1" customWidth="1"/>
    <col min="7993" max="7993" width="15.140625" style="1" customWidth="1"/>
    <col min="7994" max="7994" width="14" style="1" bestFit="1" customWidth="1"/>
    <col min="7995" max="7995" width="11.28515625" style="1" bestFit="1" customWidth="1"/>
    <col min="7996" max="7996" width="12.85546875" style="1" customWidth="1"/>
    <col min="7997" max="7997" width="9.5703125" style="1" bestFit="1" customWidth="1"/>
    <col min="7998" max="8192" width="9.140625" style="1"/>
    <col min="8193" max="8195" width="0" style="1" hidden="1" customWidth="1"/>
    <col min="8196" max="8196" width="6.5703125" style="1" customWidth="1"/>
    <col min="8197" max="8197" width="7.5703125" style="1" customWidth="1"/>
    <col min="8198" max="8198" width="55.5703125" style="1" customWidth="1"/>
    <col min="8199" max="8247" width="0" style="1" hidden="1" customWidth="1"/>
    <col min="8248" max="8248" width="16.85546875" style="1" customWidth="1"/>
    <col min="8249" max="8249" width="15.140625" style="1" customWidth="1"/>
    <col min="8250" max="8250" width="14" style="1" bestFit="1" customWidth="1"/>
    <col min="8251" max="8251" width="11.28515625" style="1" bestFit="1" customWidth="1"/>
    <col min="8252" max="8252" width="12.85546875" style="1" customWidth="1"/>
    <col min="8253" max="8253" width="9.5703125" style="1" bestFit="1" customWidth="1"/>
    <col min="8254" max="8448" width="9.140625" style="1"/>
    <col min="8449" max="8451" width="0" style="1" hidden="1" customWidth="1"/>
    <col min="8452" max="8452" width="6.5703125" style="1" customWidth="1"/>
    <col min="8453" max="8453" width="7.5703125" style="1" customWidth="1"/>
    <col min="8454" max="8454" width="55.5703125" style="1" customWidth="1"/>
    <col min="8455" max="8503" width="0" style="1" hidden="1" customWidth="1"/>
    <col min="8504" max="8504" width="16.85546875" style="1" customWidth="1"/>
    <col min="8505" max="8505" width="15.140625" style="1" customWidth="1"/>
    <col min="8506" max="8506" width="14" style="1" bestFit="1" customWidth="1"/>
    <col min="8507" max="8507" width="11.28515625" style="1" bestFit="1" customWidth="1"/>
    <col min="8508" max="8508" width="12.85546875" style="1" customWidth="1"/>
    <col min="8509" max="8509" width="9.5703125" style="1" bestFit="1" customWidth="1"/>
    <col min="8510" max="8704" width="9.140625" style="1"/>
    <col min="8705" max="8707" width="0" style="1" hidden="1" customWidth="1"/>
    <col min="8708" max="8708" width="6.5703125" style="1" customWidth="1"/>
    <col min="8709" max="8709" width="7.5703125" style="1" customWidth="1"/>
    <col min="8710" max="8710" width="55.5703125" style="1" customWidth="1"/>
    <col min="8711" max="8759" width="0" style="1" hidden="1" customWidth="1"/>
    <col min="8760" max="8760" width="16.85546875" style="1" customWidth="1"/>
    <col min="8761" max="8761" width="15.140625" style="1" customWidth="1"/>
    <col min="8762" max="8762" width="14" style="1" bestFit="1" customWidth="1"/>
    <col min="8763" max="8763" width="11.28515625" style="1" bestFit="1" customWidth="1"/>
    <col min="8764" max="8764" width="12.85546875" style="1" customWidth="1"/>
    <col min="8765" max="8765" width="9.5703125" style="1" bestFit="1" customWidth="1"/>
    <col min="8766" max="8960" width="9.140625" style="1"/>
    <col min="8961" max="8963" width="0" style="1" hidden="1" customWidth="1"/>
    <col min="8964" max="8964" width="6.5703125" style="1" customWidth="1"/>
    <col min="8965" max="8965" width="7.5703125" style="1" customWidth="1"/>
    <col min="8966" max="8966" width="55.5703125" style="1" customWidth="1"/>
    <col min="8967" max="9015" width="0" style="1" hidden="1" customWidth="1"/>
    <col min="9016" max="9016" width="16.85546875" style="1" customWidth="1"/>
    <col min="9017" max="9017" width="15.140625" style="1" customWidth="1"/>
    <col min="9018" max="9018" width="14" style="1" bestFit="1" customWidth="1"/>
    <col min="9019" max="9019" width="11.28515625" style="1" bestFit="1" customWidth="1"/>
    <col min="9020" max="9020" width="12.85546875" style="1" customWidth="1"/>
    <col min="9021" max="9021" width="9.5703125" style="1" bestFit="1" customWidth="1"/>
    <col min="9022" max="9216" width="9.140625" style="1"/>
    <col min="9217" max="9219" width="0" style="1" hidden="1" customWidth="1"/>
    <col min="9220" max="9220" width="6.5703125" style="1" customWidth="1"/>
    <col min="9221" max="9221" width="7.5703125" style="1" customWidth="1"/>
    <col min="9222" max="9222" width="55.5703125" style="1" customWidth="1"/>
    <col min="9223" max="9271" width="0" style="1" hidden="1" customWidth="1"/>
    <col min="9272" max="9272" width="16.85546875" style="1" customWidth="1"/>
    <col min="9273" max="9273" width="15.140625" style="1" customWidth="1"/>
    <col min="9274" max="9274" width="14" style="1" bestFit="1" customWidth="1"/>
    <col min="9275" max="9275" width="11.28515625" style="1" bestFit="1" customWidth="1"/>
    <col min="9276" max="9276" width="12.85546875" style="1" customWidth="1"/>
    <col min="9277" max="9277" width="9.5703125" style="1" bestFit="1" customWidth="1"/>
    <col min="9278" max="9472" width="9.140625" style="1"/>
    <col min="9473" max="9475" width="0" style="1" hidden="1" customWidth="1"/>
    <col min="9476" max="9476" width="6.5703125" style="1" customWidth="1"/>
    <col min="9477" max="9477" width="7.5703125" style="1" customWidth="1"/>
    <col min="9478" max="9478" width="55.5703125" style="1" customWidth="1"/>
    <col min="9479" max="9527" width="0" style="1" hidden="1" customWidth="1"/>
    <col min="9528" max="9528" width="16.85546875" style="1" customWidth="1"/>
    <col min="9529" max="9529" width="15.140625" style="1" customWidth="1"/>
    <col min="9530" max="9530" width="14" style="1" bestFit="1" customWidth="1"/>
    <col min="9531" max="9531" width="11.28515625" style="1" bestFit="1" customWidth="1"/>
    <col min="9532" max="9532" width="12.85546875" style="1" customWidth="1"/>
    <col min="9533" max="9533" width="9.5703125" style="1" bestFit="1" customWidth="1"/>
    <col min="9534" max="9728" width="9.140625" style="1"/>
    <col min="9729" max="9731" width="0" style="1" hidden="1" customWidth="1"/>
    <col min="9732" max="9732" width="6.5703125" style="1" customWidth="1"/>
    <col min="9733" max="9733" width="7.5703125" style="1" customWidth="1"/>
    <col min="9734" max="9734" width="55.5703125" style="1" customWidth="1"/>
    <col min="9735" max="9783" width="0" style="1" hidden="1" customWidth="1"/>
    <col min="9784" max="9784" width="16.85546875" style="1" customWidth="1"/>
    <col min="9785" max="9785" width="15.140625" style="1" customWidth="1"/>
    <col min="9786" max="9786" width="14" style="1" bestFit="1" customWidth="1"/>
    <col min="9787" max="9787" width="11.28515625" style="1" bestFit="1" customWidth="1"/>
    <col min="9788" max="9788" width="12.85546875" style="1" customWidth="1"/>
    <col min="9789" max="9789" width="9.5703125" style="1" bestFit="1" customWidth="1"/>
    <col min="9790" max="9984" width="9.140625" style="1"/>
    <col min="9985" max="9987" width="0" style="1" hidden="1" customWidth="1"/>
    <col min="9988" max="9988" width="6.5703125" style="1" customWidth="1"/>
    <col min="9989" max="9989" width="7.5703125" style="1" customWidth="1"/>
    <col min="9990" max="9990" width="55.5703125" style="1" customWidth="1"/>
    <col min="9991" max="10039" width="0" style="1" hidden="1" customWidth="1"/>
    <col min="10040" max="10040" width="16.85546875" style="1" customWidth="1"/>
    <col min="10041" max="10041" width="15.140625" style="1" customWidth="1"/>
    <col min="10042" max="10042" width="14" style="1" bestFit="1" customWidth="1"/>
    <col min="10043" max="10043" width="11.28515625" style="1" bestFit="1" customWidth="1"/>
    <col min="10044" max="10044" width="12.85546875" style="1" customWidth="1"/>
    <col min="10045" max="10045" width="9.5703125" style="1" bestFit="1" customWidth="1"/>
    <col min="10046" max="10240" width="9.140625" style="1"/>
    <col min="10241" max="10243" width="0" style="1" hidden="1" customWidth="1"/>
    <col min="10244" max="10244" width="6.5703125" style="1" customWidth="1"/>
    <col min="10245" max="10245" width="7.5703125" style="1" customWidth="1"/>
    <col min="10246" max="10246" width="55.5703125" style="1" customWidth="1"/>
    <col min="10247" max="10295" width="0" style="1" hidden="1" customWidth="1"/>
    <col min="10296" max="10296" width="16.85546875" style="1" customWidth="1"/>
    <col min="10297" max="10297" width="15.140625" style="1" customWidth="1"/>
    <col min="10298" max="10298" width="14" style="1" bestFit="1" customWidth="1"/>
    <col min="10299" max="10299" width="11.28515625" style="1" bestFit="1" customWidth="1"/>
    <col min="10300" max="10300" width="12.85546875" style="1" customWidth="1"/>
    <col min="10301" max="10301" width="9.5703125" style="1" bestFit="1" customWidth="1"/>
    <col min="10302" max="10496" width="9.140625" style="1"/>
    <col min="10497" max="10499" width="0" style="1" hidden="1" customWidth="1"/>
    <col min="10500" max="10500" width="6.5703125" style="1" customWidth="1"/>
    <col min="10501" max="10501" width="7.5703125" style="1" customWidth="1"/>
    <col min="10502" max="10502" width="55.5703125" style="1" customWidth="1"/>
    <col min="10503" max="10551" width="0" style="1" hidden="1" customWidth="1"/>
    <col min="10552" max="10552" width="16.85546875" style="1" customWidth="1"/>
    <col min="10553" max="10553" width="15.140625" style="1" customWidth="1"/>
    <col min="10554" max="10554" width="14" style="1" bestFit="1" customWidth="1"/>
    <col min="10555" max="10555" width="11.28515625" style="1" bestFit="1" customWidth="1"/>
    <col min="10556" max="10556" width="12.85546875" style="1" customWidth="1"/>
    <col min="10557" max="10557" width="9.5703125" style="1" bestFit="1" customWidth="1"/>
    <col min="10558" max="10752" width="9.140625" style="1"/>
    <col min="10753" max="10755" width="0" style="1" hidden="1" customWidth="1"/>
    <col min="10756" max="10756" width="6.5703125" style="1" customWidth="1"/>
    <col min="10757" max="10757" width="7.5703125" style="1" customWidth="1"/>
    <col min="10758" max="10758" width="55.5703125" style="1" customWidth="1"/>
    <col min="10759" max="10807" width="0" style="1" hidden="1" customWidth="1"/>
    <col min="10808" max="10808" width="16.85546875" style="1" customWidth="1"/>
    <col min="10809" max="10809" width="15.140625" style="1" customWidth="1"/>
    <col min="10810" max="10810" width="14" style="1" bestFit="1" customWidth="1"/>
    <col min="10811" max="10811" width="11.28515625" style="1" bestFit="1" customWidth="1"/>
    <col min="10812" max="10812" width="12.85546875" style="1" customWidth="1"/>
    <col min="10813" max="10813" width="9.5703125" style="1" bestFit="1" customWidth="1"/>
    <col min="10814" max="11008" width="9.140625" style="1"/>
    <col min="11009" max="11011" width="0" style="1" hidden="1" customWidth="1"/>
    <col min="11012" max="11012" width="6.5703125" style="1" customWidth="1"/>
    <col min="11013" max="11013" width="7.5703125" style="1" customWidth="1"/>
    <col min="11014" max="11014" width="55.5703125" style="1" customWidth="1"/>
    <col min="11015" max="11063" width="0" style="1" hidden="1" customWidth="1"/>
    <col min="11064" max="11064" width="16.85546875" style="1" customWidth="1"/>
    <col min="11065" max="11065" width="15.140625" style="1" customWidth="1"/>
    <col min="11066" max="11066" width="14" style="1" bestFit="1" customWidth="1"/>
    <col min="11067" max="11067" width="11.28515625" style="1" bestFit="1" customWidth="1"/>
    <col min="11068" max="11068" width="12.85546875" style="1" customWidth="1"/>
    <col min="11069" max="11069" width="9.5703125" style="1" bestFit="1" customWidth="1"/>
    <col min="11070" max="11264" width="9.140625" style="1"/>
    <col min="11265" max="11267" width="0" style="1" hidden="1" customWidth="1"/>
    <col min="11268" max="11268" width="6.5703125" style="1" customWidth="1"/>
    <col min="11269" max="11269" width="7.5703125" style="1" customWidth="1"/>
    <col min="11270" max="11270" width="55.5703125" style="1" customWidth="1"/>
    <col min="11271" max="11319" width="0" style="1" hidden="1" customWidth="1"/>
    <col min="11320" max="11320" width="16.85546875" style="1" customWidth="1"/>
    <col min="11321" max="11321" width="15.140625" style="1" customWidth="1"/>
    <col min="11322" max="11322" width="14" style="1" bestFit="1" customWidth="1"/>
    <col min="11323" max="11323" width="11.28515625" style="1" bestFit="1" customWidth="1"/>
    <col min="11324" max="11324" width="12.85546875" style="1" customWidth="1"/>
    <col min="11325" max="11325" width="9.5703125" style="1" bestFit="1" customWidth="1"/>
    <col min="11326" max="11520" width="9.140625" style="1"/>
    <col min="11521" max="11523" width="0" style="1" hidden="1" customWidth="1"/>
    <col min="11524" max="11524" width="6.5703125" style="1" customWidth="1"/>
    <col min="11525" max="11525" width="7.5703125" style="1" customWidth="1"/>
    <col min="11526" max="11526" width="55.5703125" style="1" customWidth="1"/>
    <col min="11527" max="11575" width="0" style="1" hidden="1" customWidth="1"/>
    <col min="11576" max="11576" width="16.85546875" style="1" customWidth="1"/>
    <col min="11577" max="11577" width="15.140625" style="1" customWidth="1"/>
    <col min="11578" max="11578" width="14" style="1" bestFit="1" customWidth="1"/>
    <col min="11579" max="11579" width="11.28515625" style="1" bestFit="1" customWidth="1"/>
    <col min="11580" max="11580" width="12.85546875" style="1" customWidth="1"/>
    <col min="11581" max="11581" width="9.5703125" style="1" bestFit="1" customWidth="1"/>
    <col min="11582" max="11776" width="9.140625" style="1"/>
    <col min="11777" max="11779" width="0" style="1" hidden="1" customWidth="1"/>
    <col min="11780" max="11780" width="6.5703125" style="1" customWidth="1"/>
    <col min="11781" max="11781" width="7.5703125" style="1" customWidth="1"/>
    <col min="11782" max="11782" width="55.5703125" style="1" customWidth="1"/>
    <col min="11783" max="11831" width="0" style="1" hidden="1" customWidth="1"/>
    <col min="11832" max="11832" width="16.85546875" style="1" customWidth="1"/>
    <col min="11833" max="11833" width="15.140625" style="1" customWidth="1"/>
    <col min="11834" max="11834" width="14" style="1" bestFit="1" customWidth="1"/>
    <col min="11835" max="11835" width="11.28515625" style="1" bestFit="1" customWidth="1"/>
    <col min="11836" max="11836" width="12.85546875" style="1" customWidth="1"/>
    <col min="11837" max="11837" width="9.5703125" style="1" bestFit="1" customWidth="1"/>
    <col min="11838" max="12032" width="9.140625" style="1"/>
    <col min="12033" max="12035" width="0" style="1" hidden="1" customWidth="1"/>
    <col min="12036" max="12036" width="6.5703125" style="1" customWidth="1"/>
    <col min="12037" max="12037" width="7.5703125" style="1" customWidth="1"/>
    <col min="12038" max="12038" width="55.5703125" style="1" customWidth="1"/>
    <col min="12039" max="12087" width="0" style="1" hidden="1" customWidth="1"/>
    <col min="12088" max="12088" width="16.85546875" style="1" customWidth="1"/>
    <col min="12089" max="12089" width="15.140625" style="1" customWidth="1"/>
    <col min="12090" max="12090" width="14" style="1" bestFit="1" customWidth="1"/>
    <col min="12091" max="12091" width="11.28515625" style="1" bestFit="1" customWidth="1"/>
    <col min="12092" max="12092" width="12.85546875" style="1" customWidth="1"/>
    <col min="12093" max="12093" width="9.5703125" style="1" bestFit="1" customWidth="1"/>
    <col min="12094" max="12288" width="9.140625" style="1"/>
    <col min="12289" max="12291" width="0" style="1" hidden="1" customWidth="1"/>
    <col min="12292" max="12292" width="6.5703125" style="1" customWidth="1"/>
    <col min="12293" max="12293" width="7.5703125" style="1" customWidth="1"/>
    <col min="12294" max="12294" width="55.5703125" style="1" customWidth="1"/>
    <col min="12295" max="12343" width="0" style="1" hidden="1" customWidth="1"/>
    <col min="12344" max="12344" width="16.85546875" style="1" customWidth="1"/>
    <col min="12345" max="12345" width="15.140625" style="1" customWidth="1"/>
    <col min="12346" max="12346" width="14" style="1" bestFit="1" customWidth="1"/>
    <col min="12347" max="12347" width="11.28515625" style="1" bestFit="1" customWidth="1"/>
    <col min="12348" max="12348" width="12.85546875" style="1" customWidth="1"/>
    <col min="12349" max="12349" width="9.5703125" style="1" bestFit="1" customWidth="1"/>
    <col min="12350" max="12544" width="9.140625" style="1"/>
    <col min="12545" max="12547" width="0" style="1" hidden="1" customWidth="1"/>
    <col min="12548" max="12548" width="6.5703125" style="1" customWidth="1"/>
    <col min="12549" max="12549" width="7.5703125" style="1" customWidth="1"/>
    <col min="12550" max="12550" width="55.5703125" style="1" customWidth="1"/>
    <col min="12551" max="12599" width="0" style="1" hidden="1" customWidth="1"/>
    <col min="12600" max="12600" width="16.85546875" style="1" customWidth="1"/>
    <col min="12601" max="12601" width="15.140625" style="1" customWidth="1"/>
    <col min="12602" max="12602" width="14" style="1" bestFit="1" customWidth="1"/>
    <col min="12603" max="12603" width="11.28515625" style="1" bestFit="1" customWidth="1"/>
    <col min="12604" max="12604" width="12.85546875" style="1" customWidth="1"/>
    <col min="12605" max="12605" width="9.5703125" style="1" bestFit="1" customWidth="1"/>
    <col min="12606" max="12800" width="9.140625" style="1"/>
    <col min="12801" max="12803" width="0" style="1" hidden="1" customWidth="1"/>
    <col min="12804" max="12804" width="6.5703125" style="1" customWidth="1"/>
    <col min="12805" max="12805" width="7.5703125" style="1" customWidth="1"/>
    <col min="12806" max="12806" width="55.5703125" style="1" customWidth="1"/>
    <col min="12807" max="12855" width="0" style="1" hidden="1" customWidth="1"/>
    <col min="12856" max="12856" width="16.85546875" style="1" customWidth="1"/>
    <col min="12857" max="12857" width="15.140625" style="1" customWidth="1"/>
    <col min="12858" max="12858" width="14" style="1" bestFit="1" customWidth="1"/>
    <col min="12859" max="12859" width="11.28515625" style="1" bestFit="1" customWidth="1"/>
    <col min="12860" max="12860" width="12.85546875" style="1" customWidth="1"/>
    <col min="12861" max="12861" width="9.5703125" style="1" bestFit="1" customWidth="1"/>
    <col min="12862" max="13056" width="9.140625" style="1"/>
    <col min="13057" max="13059" width="0" style="1" hidden="1" customWidth="1"/>
    <col min="13060" max="13060" width="6.5703125" style="1" customWidth="1"/>
    <col min="13061" max="13061" width="7.5703125" style="1" customWidth="1"/>
    <col min="13062" max="13062" width="55.5703125" style="1" customWidth="1"/>
    <col min="13063" max="13111" width="0" style="1" hidden="1" customWidth="1"/>
    <col min="13112" max="13112" width="16.85546875" style="1" customWidth="1"/>
    <col min="13113" max="13113" width="15.140625" style="1" customWidth="1"/>
    <col min="13114" max="13114" width="14" style="1" bestFit="1" customWidth="1"/>
    <col min="13115" max="13115" width="11.28515625" style="1" bestFit="1" customWidth="1"/>
    <col min="13116" max="13116" width="12.85546875" style="1" customWidth="1"/>
    <col min="13117" max="13117" width="9.5703125" style="1" bestFit="1" customWidth="1"/>
    <col min="13118" max="13312" width="9.140625" style="1"/>
    <col min="13313" max="13315" width="0" style="1" hidden="1" customWidth="1"/>
    <col min="13316" max="13316" width="6.5703125" style="1" customWidth="1"/>
    <col min="13317" max="13317" width="7.5703125" style="1" customWidth="1"/>
    <col min="13318" max="13318" width="55.5703125" style="1" customWidth="1"/>
    <col min="13319" max="13367" width="0" style="1" hidden="1" customWidth="1"/>
    <col min="13368" max="13368" width="16.85546875" style="1" customWidth="1"/>
    <col min="13369" max="13369" width="15.140625" style="1" customWidth="1"/>
    <col min="13370" max="13370" width="14" style="1" bestFit="1" customWidth="1"/>
    <col min="13371" max="13371" width="11.28515625" style="1" bestFit="1" customWidth="1"/>
    <col min="13372" max="13372" width="12.85546875" style="1" customWidth="1"/>
    <col min="13373" max="13373" width="9.5703125" style="1" bestFit="1" customWidth="1"/>
    <col min="13374" max="13568" width="9.140625" style="1"/>
    <col min="13569" max="13571" width="0" style="1" hidden="1" customWidth="1"/>
    <col min="13572" max="13572" width="6.5703125" style="1" customWidth="1"/>
    <col min="13573" max="13573" width="7.5703125" style="1" customWidth="1"/>
    <col min="13574" max="13574" width="55.5703125" style="1" customWidth="1"/>
    <col min="13575" max="13623" width="0" style="1" hidden="1" customWidth="1"/>
    <col min="13624" max="13624" width="16.85546875" style="1" customWidth="1"/>
    <col min="13625" max="13625" width="15.140625" style="1" customWidth="1"/>
    <col min="13626" max="13626" width="14" style="1" bestFit="1" customWidth="1"/>
    <col min="13627" max="13627" width="11.28515625" style="1" bestFit="1" customWidth="1"/>
    <col min="13628" max="13628" width="12.85546875" style="1" customWidth="1"/>
    <col min="13629" max="13629" width="9.5703125" style="1" bestFit="1" customWidth="1"/>
    <col min="13630" max="13824" width="9.140625" style="1"/>
    <col min="13825" max="13827" width="0" style="1" hidden="1" customWidth="1"/>
    <col min="13828" max="13828" width="6.5703125" style="1" customWidth="1"/>
    <col min="13829" max="13829" width="7.5703125" style="1" customWidth="1"/>
    <col min="13830" max="13830" width="55.5703125" style="1" customWidth="1"/>
    <col min="13831" max="13879" width="0" style="1" hidden="1" customWidth="1"/>
    <col min="13880" max="13880" width="16.85546875" style="1" customWidth="1"/>
    <col min="13881" max="13881" width="15.140625" style="1" customWidth="1"/>
    <col min="13882" max="13882" width="14" style="1" bestFit="1" customWidth="1"/>
    <col min="13883" max="13883" width="11.28515625" style="1" bestFit="1" customWidth="1"/>
    <col min="13884" max="13884" width="12.85546875" style="1" customWidth="1"/>
    <col min="13885" max="13885" width="9.5703125" style="1" bestFit="1" customWidth="1"/>
    <col min="13886" max="14080" width="9.140625" style="1"/>
    <col min="14081" max="14083" width="0" style="1" hidden="1" customWidth="1"/>
    <col min="14084" max="14084" width="6.5703125" style="1" customWidth="1"/>
    <col min="14085" max="14085" width="7.5703125" style="1" customWidth="1"/>
    <col min="14086" max="14086" width="55.5703125" style="1" customWidth="1"/>
    <col min="14087" max="14135" width="0" style="1" hidden="1" customWidth="1"/>
    <col min="14136" max="14136" width="16.85546875" style="1" customWidth="1"/>
    <col min="14137" max="14137" width="15.140625" style="1" customWidth="1"/>
    <col min="14138" max="14138" width="14" style="1" bestFit="1" customWidth="1"/>
    <col min="14139" max="14139" width="11.28515625" style="1" bestFit="1" customWidth="1"/>
    <col min="14140" max="14140" width="12.85546875" style="1" customWidth="1"/>
    <col min="14141" max="14141" width="9.5703125" style="1" bestFit="1" customWidth="1"/>
    <col min="14142" max="14336" width="9.140625" style="1"/>
    <col min="14337" max="14339" width="0" style="1" hidden="1" customWidth="1"/>
    <col min="14340" max="14340" width="6.5703125" style="1" customWidth="1"/>
    <col min="14341" max="14341" width="7.5703125" style="1" customWidth="1"/>
    <col min="14342" max="14342" width="55.5703125" style="1" customWidth="1"/>
    <col min="14343" max="14391" width="0" style="1" hidden="1" customWidth="1"/>
    <col min="14392" max="14392" width="16.85546875" style="1" customWidth="1"/>
    <col min="14393" max="14393" width="15.140625" style="1" customWidth="1"/>
    <col min="14394" max="14394" width="14" style="1" bestFit="1" customWidth="1"/>
    <col min="14395" max="14395" width="11.28515625" style="1" bestFit="1" customWidth="1"/>
    <col min="14396" max="14396" width="12.85546875" style="1" customWidth="1"/>
    <col min="14397" max="14397" width="9.5703125" style="1" bestFit="1" customWidth="1"/>
    <col min="14398" max="14592" width="9.140625" style="1"/>
    <col min="14593" max="14595" width="0" style="1" hidden="1" customWidth="1"/>
    <col min="14596" max="14596" width="6.5703125" style="1" customWidth="1"/>
    <col min="14597" max="14597" width="7.5703125" style="1" customWidth="1"/>
    <col min="14598" max="14598" width="55.5703125" style="1" customWidth="1"/>
    <col min="14599" max="14647" width="0" style="1" hidden="1" customWidth="1"/>
    <col min="14648" max="14648" width="16.85546875" style="1" customWidth="1"/>
    <col min="14649" max="14649" width="15.140625" style="1" customWidth="1"/>
    <col min="14650" max="14650" width="14" style="1" bestFit="1" customWidth="1"/>
    <col min="14651" max="14651" width="11.28515625" style="1" bestFit="1" customWidth="1"/>
    <col min="14652" max="14652" width="12.85546875" style="1" customWidth="1"/>
    <col min="14653" max="14653" width="9.5703125" style="1" bestFit="1" customWidth="1"/>
    <col min="14654" max="14848" width="9.140625" style="1"/>
    <col min="14849" max="14851" width="0" style="1" hidden="1" customWidth="1"/>
    <col min="14852" max="14852" width="6.5703125" style="1" customWidth="1"/>
    <col min="14853" max="14853" width="7.5703125" style="1" customWidth="1"/>
    <col min="14854" max="14854" width="55.5703125" style="1" customWidth="1"/>
    <col min="14855" max="14903" width="0" style="1" hidden="1" customWidth="1"/>
    <col min="14904" max="14904" width="16.85546875" style="1" customWidth="1"/>
    <col min="14905" max="14905" width="15.140625" style="1" customWidth="1"/>
    <col min="14906" max="14906" width="14" style="1" bestFit="1" customWidth="1"/>
    <col min="14907" max="14907" width="11.28515625" style="1" bestFit="1" customWidth="1"/>
    <col min="14908" max="14908" width="12.85546875" style="1" customWidth="1"/>
    <col min="14909" max="14909" width="9.5703125" style="1" bestFit="1" customWidth="1"/>
    <col min="14910" max="15104" width="9.140625" style="1"/>
    <col min="15105" max="15107" width="0" style="1" hidden="1" customWidth="1"/>
    <col min="15108" max="15108" width="6.5703125" style="1" customWidth="1"/>
    <col min="15109" max="15109" width="7.5703125" style="1" customWidth="1"/>
    <col min="15110" max="15110" width="55.5703125" style="1" customWidth="1"/>
    <col min="15111" max="15159" width="0" style="1" hidden="1" customWidth="1"/>
    <col min="15160" max="15160" width="16.85546875" style="1" customWidth="1"/>
    <col min="15161" max="15161" width="15.140625" style="1" customWidth="1"/>
    <col min="15162" max="15162" width="14" style="1" bestFit="1" customWidth="1"/>
    <col min="15163" max="15163" width="11.28515625" style="1" bestFit="1" customWidth="1"/>
    <col min="15164" max="15164" width="12.85546875" style="1" customWidth="1"/>
    <col min="15165" max="15165" width="9.5703125" style="1" bestFit="1" customWidth="1"/>
    <col min="15166" max="15360" width="9.140625" style="1"/>
    <col min="15361" max="15363" width="0" style="1" hidden="1" customWidth="1"/>
    <col min="15364" max="15364" width="6.5703125" style="1" customWidth="1"/>
    <col min="15365" max="15365" width="7.5703125" style="1" customWidth="1"/>
    <col min="15366" max="15366" width="55.5703125" style="1" customWidth="1"/>
    <col min="15367" max="15415" width="0" style="1" hidden="1" customWidth="1"/>
    <col min="15416" max="15416" width="16.85546875" style="1" customWidth="1"/>
    <col min="15417" max="15417" width="15.140625" style="1" customWidth="1"/>
    <col min="15418" max="15418" width="14" style="1" bestFit="1" customWidth="1"/>
    <col min="15419" max="15419" width="11.28515625" style="1" bestFit="1" customWidth="1"/>
    <col min="15420" max="15420" width="12.85546875" style="1" customWidth="1"/>
    <col min="15421" max="15421" width="9.5703125" style="1" bestFit="1" customWidth="1"/>
    <col min="15422" max="15616" width="9.140625" style="1"/>
    <col min="15617" max="15619" width="0" style="1" hidden="1" customWidth="1"/>
    <col min="15620" max="15620" width="6.5703125" style="1" customWidth="1"/>
    <col min="15621" max="15621" width="7.5703125" style="1" customWidth="1"/>
    <col min="15622" max="15622" width="55.5703125" style="1" customWidth="1"/>
    <col min="15623" max="15671" width="0" style="1" hidden="1" customWidth="1"/>
    <col min="15672" max="15672" width="16.85546875" style="1" customWidth="1"/>
    <col min="15673" max="15673" width="15.140625" style="1" customWidth="1"/>
    <col min="15674" max="15674" width="14" style="1" bestFit="1" customWidth="1"/>
    <col min="15675" max="15675" width="11.28515625" style="1" bestFit="1" customWidth="1"/>
    <col min="15676" max="15676" width="12.85546875" style="1" customWidth="1"/>
    <col min="15677" max="15677" width="9.5703125" style="1" bestFit="1" customWidth="1"/>
    <col min="15678" max="15872" width="9.140625" style="1"/>
    <col min="15873" max="15875" width="0" style="1" hidden="1" customWidth="1"/>
    <col min="15876" max="15876" width="6.5703125" style="1" customWidth="1"/>
    <col min="15877" max="15877" width="7.5703125" style="1" customWidth="1"/>
    <col min="15878" max="15878" width="55.5703125" style="1" customWidth="1"/>
    <col min="15879" max="15927" width="0" style="1" hidden="1" customWidth="1"/>
    <col min="15928" max="15928" width="16.85546875" style="1" customWidth="1"/>
    <col min="15929" max="15929" width="15.140625" style="1" customWidth="1"/>
    <col min="15930" max="15930" width="14" style="1" bestFit="1" customWidth="1"/>
    <col min="15931" max="15931" width="11.28515625" style="1" bestFit="1" customWidth="1"/>
    <col min="15932" max="15932" width="12.85546875" style="1" customWidth="1"/>
    <col min="15933" max="15933" width="9.5703125" style="1" bestFit="1" customWidth="1"/>
    <col min="15934" max="16128" width="9.140625" style="1"/>
    <col min="16129" max="16131" width="0" style="1" hidden="1" customWidth="1"/>
    <col min="16132" max="16132" width="6.5703125" style="1" customWidth="1"/>
    <col min="16133" max="16133" width="7.5703125" style="1" customWidth="1"/>
    <col min="16134" max="16134" width="55.5703125" style="1" customWidth="1"/>
    <col min="16135" max="16183" width="0" style="1" hidden="1" customWidth="1"/>
    <col min="16184" max="16184" width="16.85546875" style="1" customWidth="1"/>
    <col min="16185" max="16185" width="15.140625" style="1" customWidth="1"/>
    <col min="16186" max="16186" width="14" style="1" bestFit="1" customWidth="1"/>
    <col min="16187" max="16187" width="11.28515625" style="1" bestFit="1" customWidth="1"/>
    <col min="16188" max="16188" width="12.85546875" style="1" customWidth="1"/>
    <col min="16189" max="16189" width="9.5703125" style="1" bestFit="1" customWidth="1"/>
    <col min="16190" max="16384" width="9.140625" style="1"/>
  </cols>
  <sheetData>
    <row r="1" spans="4:57" x14ac:dyDescent="0.25">
      <c r="D1" s="54" t="s">
        <v>0</v>
      </c>
      <c r="E1" s="56" t="s">
        <v>1</v>
      </c>
      <c r="F1" s="50" t="s">
        <v>2</v>
      </c>
      <c r="G1" s="69" t="s">
        <v>3</v>
      </c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4" t="s">
        <v>4</v>
      </c>
      <c r="T1" s="66"/>
      <c r="U1" s="66"/>
      <c r="V1" s="66"/>
      <c r="W1" s="66"/>
      <c r="X1" s="67"/>
      <c r="Y1" s="67"/>
      <c r="Z1" s="67"/>
      <c r="AA1" s="67"/>
      <c r="AB1" s="67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BD1" s="50" t="s">
        <v>5</v>
      </c>
    </row>
    <row r="2" spans="4:57" x14ac:dyDescent="0.25">
      <c r="D2" s="54"/>
      <c r="E2" s="56"/>
      <c r="F2" s="51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5"/>
      <c r="T2" s="66"/>
      <c r="U2" s="66"/>
      <c r="V2" s="66"/>
      <c r="W2" s="66"/>
      <c r="X2" s="67"/>
      <c r="Y2" s="67"/>
      <c r="Z2" s="67"/>
      <c r="AA2" s="67"/>
      <c r="AB2" s="67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BD2" s="51"/>
    </row>
    <row r="3" spans="4:57" x14ac:dyDescent="0.25">
      <c r="D3" s="54"/>
      <c r="E3" s="56"/>
      <c r="F3" s="51"/>
      <c r="G3" s="52" t="s">
        <v>6</v>
      </c>
      <c r="H3" s="52" t="s">
        <v>7</v>
      </c>
      <c r="I3" s="52" t="s">
        <v>8</v>
      </c>
      <c r="J3" s="52" t="s">
        <v>9</v>
      </c>
      <c r="K3" s="52" t="s">
        <v>10</v>
      </c>
      <c r="L3" s="52" t="s">
        <v>11</v>
      </c>
      <c r="M3" s="52" t="s">
        <v>12</v>
      </c>
      <c r="N3" s="52" t="s">
        <v>13</v>
      </c>
      <c r="O3" s="52" t="s">
        <v>14</v>
      </c>
      <c r="P3" s="52" t="s">
        <v>15</v>
      </c>
      <c r="Q3" s="52" t="s">
        <v>16</v>
      </c>
      <c r="R3" s="52" t="s">
        <v>17</v>
      </c>
      <c r="S3" s="65"/>
      <c r="T3" s="47" t="s">
        <v>18</v>
      </c>
      <c r="U3" s="48"/>
      <c r="V3" s="49"/>
      <c r="W3" s="47" t="s">
        <v>19</v>
      </c>
      <c r="X3" s="48"/>
      <c r="Y3" s="49"/>
      <c r="Z3" s="47" t="s">
        <v>20</v>
      </c>
      <c r="AA3" s="48"/>
      <c r="AB3" s="49"/>
      <c r="AC3" s="47" t="s">
        <v>21</v>
      </c>
      <c r="AD3" s="48"/>
      <c r="AE3" s="49"/>
      <c r="AF3" s="47" t="s">
        <v>22</v>
      </c>
      <c r="AG3" s="48"/>
      <c r="AH3" s="49"/>
      <c r="AI3" s="47" t="s">
        <v>23</v>
      </c>
      <c r="AJ3" s="48"/>
      <c r="AK3" s="49"/>
      <c r="AL3" s="47" t="s">
        <v>24</v>
      </c>
      <c r="AM3" s="48"/>
      <c r="AN3" s="49"/>
      <c r="AO3" s="47" t="s">
        <v>25</v>
      </c>
      <c r="AP3" s="48"/>
      <c r="AQ3" s="49"/>
      <c r="AR3" s="47" t="s">
        <v>26</v>
      </c>
      <c r="AS3" s="48"/>
      <c r="AT3" s="48"/>
      <c r="AU3" s="47" t="s">
        <v>27</v>
      </c>
      <c r="AV3" s="48"/>
      <c r="AW3" s="48"/>
      <c r="AX3" s="47" t="s">
        <v>28</v>
      </c>
      <c r="AY3" s="48"/>
      <c r="AZ3" s="48"/>
      <c r="BA3" s="47" t="s">
        <v>29</v>
      </c>
      <c r="BB3" s="48"/>
      <c r="BC3" s="48"/>
      <c r="BD3" s="51"/>
    </row>
    <row r="4" spans="4:57" ht="31.5" x14ac:dyDescent="0.25">
      <c r="D4" s="55"/>
      <c r="E4" s="57"/>
      <c r="F4" s="51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5"/>
      <c r="T4" s="7" t="s">
        <v>30</v>
      </c>
      <c r="U4" s="8" t="s">
        <v>31</v>
      </c>
      <c r="V4" s="9" t="s">
        <v>32</v>
      </c>
      <c r="W4" s="7" t="s">
        <v>30</v>
      </c>
      <c r="X4" s="8" t="s">
        <v>31</v>
      </c>
      <c r="Y4" s="9" t="s">
        <v>32</v>
      </c>
      <c r="Z4" s="7" t="s">
        <v>30</v>
      </c>
      <c r="AA4" s="8" t="s">
        <v>31</v>
      </c>
      <c r="AB4" s="9" t="s">
        <v>32</v>
      </c>
      <c r="AC4" s="7" t="s">
        <v>30</v>
      </c>
      <c r="AD4" s="8" t="s">
        <v>31</v>
      </c>
      <c r="AE4" s="9" t="s">
        <v>32</v>
      </c>
      <c r="AF4" s="7" t="s">
        <v>30</v>
      </c>
      <c r="AG4" s="8" t="s">
        <v>31</v>
      </c>
      <c r="AH4" s="9" t="s">
        <v>32</v>
      </c>
      <c r="AI4" s="7" t="s">
        <v>30</v>
      </c>
      <c r="AJ4" s="8" t="s">
        <v>31</v>
      </c>
      <c r="AK4" s="9" t="s">
        <v>32</v>
      </c>
      <c r="AL4" s="7" t="s">
        <v>30</v>
      </c>
      <c r="AM4" s="8" t="s">
        <v>31</v>
      </c>
      <c r="AN4" s="9" t="s">
        <v>32</v>
      </c>
      <c r="AO4" s="7" t="s">
        <v>30</v>
      </c>
      <c r="AP4" s="8" t="s">
        <v>31</v>
      </c>
      <c r="AQ4" s="9" t="s">
        <v>32</v>
      </c>
      <c r="AR4" s="7" t="s">
        <v>30</v>
      </c>
      <c r="AS4" s="8" t="s">
        <v>31</v>
      </c>
      <c r="AT4" s="10" t="s">
        <v>32</v>
      </c>
      <c r="AU4" s="7" t="s">
        <v>30</v>
      </c>
      <c r="AV4" s="8" t="s">
        <v>31</v>
      </c>
      <c r="AW4" s="10" t="s">
        <v>32</v>
      </c>
      <c r="AX4" s="7" t="s">
        <v>30</v>
      </c>
      <c r="AY4" s="8" t="s">
        <v>31</v>
      </c>
      <c r="AZ4" s="10" t="s">
        <v>32</v>
      </c>
      <c r="BA4" s="7" t="s">
        <v>30</v>
      </c>
      <c r="BB4" s="8" t="s">
        <v>31</v>
      </c>
      <c r="BC4" s="10" t="s">
        <v>32</v>
      </c>
      <c r="BD4" s="51"/>
    </row>
    <row r="5" spans="4:57" x14ac:dyDescent="0.25">
      <c r="D5" s="11"/>
      <c r="E5" s="12">
        <v>2240</v>
      </c>
      <c r="F5" s="23" t="s">
        <v>45</v>
      </c>
      <c r="G5" s="24"/>
      <c r="H5" s="24"/>
      <c r="I5" s="24">
        <v>17010</v>
      </c>
      <c r="J5" s="24">
        <f>61402.5+18900</f>
        <v>80302.5</v>
      </c>
      <c r="K5" s="24"/>
      <c r="L5" s="24">
        <f>30000-23402.5-5910-687.5</f>
        <v>0</v>
      </c>
      <c r="M5" s="24"/>
      <c r="N5" s="24">
        <f>30000-30000</f>
        <v>0</v>
      </c>
      <c r="O5" s="24">
        <f>30000-17010-12990</f>
        <v>0</v>
      </c>
      <c r="P5" s="24"/>
      <c r="Q5" s="24"/>
      <c r="R5" s="24">
        <f>8000-8000</f>
        <v>0</v>
      </c>
      <c r="S5" s="15">
        <f t="shared" ref="S5:S8" si="0">SUM(G5:R5)</f>
        <v>97312.5</v>
      </c>
      <c r="T5" s="16">
        <f t="shared" ref="T5:T25" si="1">G5</f>
        <v>0</v>
      </c>
      <c r="U5" s="17"/>
      <c r="V5" s="18">
        <f t="shared" ref="V5:V25" si="2">T5-U5</f>
        <v>0</v>
      </c>
      <c r="W5" s="16">
        <f t="shared" ref="W5:W25" si="3">H5+V5</f>
        <v>0</v>
      </c>
      <c r="X5" s="17"/>
      <c r="Y5" s="18">
        <f t="shared" ref="Y5:Y25" si="4">W5-X5</f>
        <v>0</v>
      </c>
      <c r="Z5" s="16">
        <f t="shared" ref="Z5:Z25" si="5">Y5+I5</f>
        <v>17010</v>
      </c>
      <c r="AA5" s="17"/>
      <c r="AB5" s="18">
        <f t="shared" ref="AB5:AB25" si="6">Z5-AA5</f>
        <v>17010</v>
      </c>
      <c r="AC5" s="16">
        <f t="shared" ref="AC5:AC25" si="7">AB5+J5</f>
        <v>97312.5</v>
      </c>
      <c r="AD5" s="17">
        <f>61402.5+17010+18900</f>
        <v>97312.5</v>
      </c>
      <c r="AE5" s="18">
        <f t="shared" ref="AE5:AE25" si="8">AC5-AD5</f>
        <v>0</v>
      </c>
      <c r="AF5" s="16">
        <f t="shared" ref="AF5:AF25" si="9">AE5+K5</f>
        <v>0</v>
      </c>
      <c r="AG5" s="17"/>
      <c r="AH5" s="18">
        <f t="shared" ref="AH5:AH25" si="10">AF5-AG5</f>
        <v>0</v>
      </c>
      <c r="AI5" s="16">
        <f t="shared" ref="AI5:AI25" si="11">AH5+L5</f>
        <v>0</v>
      </c>
      <c r="AJ5" s="17"/>
      <c r="AK5" s="18">
        <f t="shared" ref="AK5:AK25" si="12">AI5-AJ5</f>
        <v>0</v>
      </c>
      <c r="AL5" s="16">
        <f t="shared" ref="AL5:AL25" si="13">AK5+M5</f>
        <v>0</v>
      </c>
      <c r="AM5" s="17"/>
      <c r="AN5" s="18">
        <f t="shared" ref="AN5:AN25" si="14">AL5-AM5</f>
        <v>0</v>
      </c>
      <c r="AO5" s="16">
        <f t="shared" ref="AO5:AO25" si="15">AN5+N5</f>
        <v>0</v>
      </c>
      <c r="AP5" s="17"/>
      <c r="AQ5" s="18">
        <f t="shared" ref="AQ5:AQ25" si="16">AO5-AP5</f>
        <v>0</v>
      </c>
      <c r="AR5" s="19">
        <f t="shared" ref="AR5:AR25" si="17">AQ5+O5</f>
        <v>0</v>
      </c>
      <c r="AS5" s="17"/>
      <c r="AT5" s="20">
        <f t="shared" ref="AT5:AT25" si="18">AR5-AS5</f>
        <v>0</v>
      </c>
      <c r="AU5" s="19">
        <f t="shared" ref="AU5:AU25" si="19">AT5+P5</f>
        <v>0</v>
      </c>
      <c r="AV5" s="17"/>
      <c r="AW5" s="20">
        <f t="shared" ref="AW5:AW25" si="20">AU5-AV5</f>
        <v>0</v>
      </c>
      <c r="AX5" s="19">
        <f t="shared" ref="AX5:AX25" si="21">AW5+Q5</f>
        <v>0</v>
      </c>
      <c r="AY5" s="17"/>
      <c r="AZ5" s="20">
        <f t="shared" ref="AZ5:AZ25" si="22">AX5-AY5</f>
        <v>0</v>
      </c>
      <c r="BA5" s="19">
        <f t="shared" ref="BA5:BA25" si="23">AZ5+R5</f>
        <v>0</v>
      </c>
      <c r="BB5" s="17"/>
      <c r="BC5" s="20">
        <f t="shared" ref="BC5:BC25" si="24">BA5-BB5</f>
        <v>0</v>
      </c>
      <c r="BD5" s="21">
        <f t="shared" ref="BD5:BD8" si="25">S5-BC5</f>
        <v>97312.5</v>
      </c>
      <c r="BE5" s="22"/>
    </row>
    <row r="6" spans="4:57" x14ac:dyDescent="0.25">
      <c r="D6" s="11"/>
      <c r="E6" s="12">
        <v>2240</v>
      </c>
      <c r="F6" s="23" t="s">
        <v>53</v>
      </c>
      <c r="G6" s="24"/>
      <c r="H6" s="24"/>
      <c r="I6" s="24"/>
      <c r="J6" s="24"/>
      <c r="K6" s="24"/>
      <c r="L6" s="24">
        <f>50000-45499-4501</f>
        <v>0</v>
      </c>
      <c r="M6" s="24">
        <f>48000-48000</f>
        <v>0</v>
      </c>
      <c r="N6" s="24"/>
      <c r="O6" s="24"/>
      <c r="P6" s="24"/>
      <c r="Q6" s="24"/>
      <c r="R6" s="24"/>
      <c r="S6" s="15">
        <f t="shared" si="0"/>
        <v>0</v>
      </c>
      <c r="T6" s="16">
        <f>G6</f>
        <v>0</v>
      </c>
      <c r="U6" s="17"/>
      <c r="V6" s="18">
        <f>T6-U6</f>
        <v>0</v>
      </c>
      <c r="W6" s="16">
        <f>H6+V6</f>
        <v>0</v>
      </c>
      <c r="X6" s="17"/>
      <c r="Y6" s="18">
        <f>W6-X6</f>
        <v>0</v>
      </c>
      <c r="Z6" s="16">
        <f t="shared" si="5"/>
        <v>0</v>
      </c>
      <c r="AA6" s="17"/>
      <c r="AB6" s="18">
        <f>Z6-AA6</f>
        <v>0</v>
      </c>
      <c r="AC6" s="16">
        <f t="shared" si="7"/>
        <v>0</v>
      </c>
      <c r="AD6" s="17"/>
      <c r="AE6" s="18">
        <f>AC6-AD6</f>
        <v>0</v>
      </c>
      <c r="AF6" s="16">
        <f t="shared" si="9"/>
        <v>0</v>
      </c>
      <c r="AG6" s="17"/>
      <c r="AH6" s="18">
        <f>AF6-AG6</f>
        <v>0</v>
      </c>
      <c r="AI6" s="16">
        <f t="shared" si="11"/>
        <v>0</v>
      </c>
      <c r="AJ6" s="17"/>
      <c r="AK6" s="18">
        <f>AI6-AJ6</f>
        <v>0</v>
      </c>
      <c r="AL6" s="16">
        <f t="shared" si="13"/>
        <v>0</v>
      </c>
      <c r="AM6" s="17"/>
      <c r="AN6" s="18">
        <f>AL6-AM6</f>
        <v>0</v>
      </c>
      <c r="AO6" s="16">
        <f t="shared" si="15"/>
        <v>0</v>
      </c>
      <c r="AP6" s="17"/>
      <c r="AQ6" s="18">
        <f>AO6-AP6</f>
        <v>0</v>
      </c>
      <c r="AR6" s="19">
        <f t="shared" si="17"/>
        <v>0</v>
      </c>
      <c r="AS6" s="17"/>
      <c r="AT6" s="20">
        <f>AR6-AS6</f>
        <v>0</v>
      </c>
      <c r="AU6" s="19">
        <f t="shared" si="19"/>
        <v>0</v>
      </c>
      <c r="AV6" s="17"/>
      <c r="AW6" s="20">
        <f t="shared" si="20"/>
        <v>0</v>
      </c>
      <c r="AX6" s="19">
        <f t="shared" si="21"/>
        <v>0</v>
      </c>
      <c r="AY6" s="17"/>
      <c r="AZ6" s="20">
        <f>AX6-AY6</f>
        <v>0</v>
      </c>
      <c r="BA6" s="19">
        <f t="shared" si="23"/>
        <v>0</v>
      </c>
      <c r="BB6" s="17"/>
      <c r="BC6" s="20">
        <f t="shared" si="24"/>
        <v>0</v>
      </c>
      <c r="BD6" s="21">
        <f>S6-BC6</f>
        <v>0</v>
      </c>
      <c r="BE6" s="22"/>
    </row>
    <row r="7" spans="4:57" x14ac:dyDescent="0.25">
      <c r="D7" s="11"/>
      <c r="E7" s="12">
        <v>2240</v>
      </c>
      <c r="F7" s="23" t="s">
        <v>34</v>
      </c>
      <c r="G7" s="24"/>
      <c r="H7" s="24"/>
      <c r="I7" s="24"/>
      <c r="J7" s="24"/>
      <c r="K7" s="24"/>
      <c r="L7" s="24">
        <f>30000-13261-16739</f>
        <v>0</v>
      </c>
      <c r="M7" s="24">
        <f>30000-30000</f>
        <v>0</v>
      </c>
      <c r="N7" s="24">
        <f>30000+9980-39980</f>
        <v>0</v>
      </c>
      <c r="O7" s="24">
        <f>3281-3281</f>
        <v>0</v>
      </c>
      <c r="P7" s="24"/>
      <c r="Q7" s="24"/>
      <c r="R7" s="24"/>
      <c r="S7" s="15">
        <f t="shared" si="0"/>
        <v>0</v>
      </c>
      <c r="T7" s="16">
        <f t="shared" si="1"/>
        <v>0</v>
      </c>
      <c r="U7" s="17"/>
      <c r="V7" s="18">
        <f t="shared" si="2"/>
        <v>0</v>
      </c>
      <c r="W7" s="16">
        <f t="shared" si="3"/>
        <v>0</v>
      </c>
      <c r="X7" s="17"/>
      <c r="Y7" s="18">
        <f t="shared" si="4"/>
        <v>0</v>
      </c>
      <c r="Z7" s="16">
        <f t="shared" si="5"/>
        <v>0</v>
      </c>
      <c r="AA7" s="17"/>
      <c r="AB7" s="18">
        <f t="shared" si="6"/>
        <v>0</v>
      </c>
      <c r="AC7" s="16">
        <f t="shared" si="7"/>
        <v>0</v>
      </c>
      <c r="AD7" s="17"/>
      <c r="AE7" s="18">
        <f t="shared" si="8"/>
        <v>0</v>
      </c>
      <c r="AF7" s="16">
        <f t="shared" si="9"/>
        <v>0</v>
      </c>
      <c r="AG7" s="17"/>
      <c r="AH7" s="18">
        <f t="shared" si="10"/>
        <v>0</v>
      </c>
      <c r="AI7" s="16">
        <f t="shared" si="11"/>
        <v>0</v>
      </c>
      <c r="AJ7" s="17"/>
      <c r="AK7" s="18">
        <f t="shared" si="12"/>
        <v>0</v>
      </c>
      <c r="AL7" s="16">
        <f t="shared" si="13"/>
        <v>0</v>
      </c>
      <c r="AM7" s="17"/>
      <c r="AN7" s="18">
        <f t="shared" si="14"/>
        <v>0</v>
      </c>
      <c r="AO7" s="16">
        <f t="shared" si="15"/>
        <v>0</v>
      </c>
      <c r="AP7" s="17"/>
      <c r="AQ7" s="18">
        <f t="shared" si="16"/>
        <v>0</v>
      </c>
      <c r="AR7" s="19">
        <f t="shared" si="17"/>
        <v>0</v>
      </c>
      <c r="AS7" s="17"/>
      <c r="AT7" s="20">
        <f t="shared" si="18"/>
        <v>0</v>
      </c>
      <c r="AU7" s="19">
        <f t="shared" si="19"/>
        <v>0</v>
      </c>
      <c r="AV7" s="17"/>
      <c r="AW7" s="20">
        <f t="shared" si="20"/>
        <v>0</v>
      </c>
      <c r="AX7" s="19">
        <f t="shared" si="21"/>
        <v>0</v>
      </c>
      <c r="AY7" s="17"/>
      <c r="AZ7" s="20">
        <f t="shared" si="22"/>
        <v>0</v>
      </c>
      <c r="BA7" s="19">
        <f t="shared" si="23"/>
        <v>0</v>
      </c>
      <c r="BB7" s="17"/>
      <c r="BC7" s="20">
        <f t="shared" si="24"/>
        <v>0</v>
      </c>
      <c r="BD7" s="21">
        <f t="shared" si="25"/>
        <v>0</v>
      </c>
      <c r="BE7" s="22"/>
    </row>
    <row r="8" spans="4:57" x14ac:dyDescent="0.25">
      <c r="D8" s="11"/>
      <c r="E8" s="12">
        <v>2240</v>
      </c>
      <c r="F8" s="23" t="s">
        <v>35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>
        <f>900000-900000</f>
        <v>0</v>
      </c>
      <c r="R8" s="24"/>
      <c r="S8" s="15">
        <f t="shared" si="0"/>
        <v>0</v>
      </c>
      <c r="T8" s="16">
        <f t="shared" si="1"/>
        <v>0</v>
      </c>
      <c r="U8" s="17"/>
      <c r="V8" s="18">
        <f t="shared" si="2"/>
        <v>0</v>
      </c>
      <c r="W8" s="16">
        <f t="shared" si="3"/>
        <v>0</v>
      </c>
      <c r="X8" s="17"/>
      <c r="Y8" s="18">
        <f t="shared" si="4"/>
        <v>0</v>
      </c>
      <c r="Z8" s="16">
        <f t="shared" si="5"/>
        <v>0</v>
      </c>
      <c r="AA8" s="17"/>
      <c r="AB8" s="18">
        <f t="shared" si="6"/>
        <v>0</v>
      </c>
      <c r="AC8" s="16">
        <f t="shared" si="7"/>
        <v>0</v>
      </c>
      <c r="AD8" s="17"/>
      <c r="AE8" s="18">
        <f t="shared" si="8"/>
        <v>0</v>
      </c>
      <c r="AF8" s="16">
        <f t="shared" si="9"/>
        <v>0</v>
      </c>
      <c r="AG8" s="17"/>
      <c r="AH8" s="18">
        <f t="shared" si="10"/>
        <v>0</v>
      </c>
      <c r="AI8" s="16">
        <f t="shared" si="11"/>
        <v>0</v>
      </c>
      <c r="AJ8" s="17"/>
      <c r="AK8" s="18">
        <f t="shared" si="12"/>
        <v>0</v>
      </c>
      <c r="AL8" s="16">
        <f t="shared" si="13"/>
        <v>0</v>
      </c>
      <c r="AM8" s="17"/>
      <c r="AN8" s="18">
        <f t="shared" si="14"/>
        <v>0</v>
      </c>
      <c r="AO8" s="16">
        <f t="shared" si="15"/>
        <v>0</v>
      </c>
      <c r="AP8" s="17"/>
      <c r="AQ8" s="18">
        <f t="shared" si="16"/>
        <v>0</v>
      </c>
      <c r="AR8" s="19">
        <f t="shared" si="17"/>
        <v>0</v>
      </c>
      <c r="AS8" s="17"/>
      <c r="AT8" s="20">
        <f t="shared" si="18"/>
        <v>0</v>
      </c>
      <c r="AU8" s="19">
        <f t="shared" si="19"/>
        <v>0</v>
      </c>
      <c r="AV8" s="17"/>
      <c r="AW8" s="20">
        <f t="shared" si="20"/>
        <v>0</v>
      </c>
      <c r="AX8" s="19">
        <f t="shared" si="21"/>
        <v>0</v>
      </c>
      <c r="AY8" s="17"/>
      <c r="AZ8" s="20">
        <f t="shared" si="22"/>
        <v>0</v>
      </c>
      <c r="BA8" s="19">
        <f t="shared" si="23"/>
        <v>0</v>
      </c>
      <c r="BB8" s="17"/>
      <c r="BC8" s="20">
        <f t="shared" si="24"/>
        <v>0</v>
      </c>
      <c r="BD8" s="21">
        <f t="shared" si="25"/>
        <v>0</v>
      </c>
      <c r="BE8" s="22"/>
    </row>
    <row r="9" spans="4:57" s="46" customFormat="1" ht="94.5" x14ac:dyDescent="0.25">
      <c r="D9" s="27"/>
      <c r="E9" s="27"/>
      <c r="F9" s="28" t="s">
        <v>36</v>
      </c>
      <c r="G9" s="29">
        <f t="shared" ref="G9:R9" si="26">SUM(G10:G14)</f>
        <v>2500</v>
      </c>
      <c r="H9" s="29">
        <f t="shared" si="26"/>
        <v>80000</v>
      </c>
      <c r="I9" s="29">
        <f t="shared" si="26"/>
        <v>150000</v>
      </c>
      <c r="J9" s="29">
        <f t="shared" si="26"/>
        <v>97941.59</v>
      </c>
      <c r="K9" s="29">
        <f t="shared" si="26"/>
        <v>154700.41</v>
      </c>
      <c r="L9" s="29">
        <f t="shared" si="26"/>
        <v>313105</v>
      </c>
      <c r="M9" s="29">
        <f t="shared" si="26"/>
        <v>195000</v>
      </c>
      <c r="N9" s="29">
        <f t="shared" si="26"/>
        <v>169145</v>
      </c>
      <c r="O9" s="29">
        <f t="shared" si="26"/>
        <v>118247</v>
      </c>
      <c r="P9" s="29">
        <f t="shared" si="26"/>
        <v>60000</v>
      </c>
      <c r="Q9" s="29">
        <f t="shared" si="26"/>
        <v>60000</v>
      </c>
      <c r="R9" s="29">
        <f t="shared" si="26"/>
        <v>42779</v>
      </c>
      <c r="S9" s="30">
        <f t="shared" ref="S9:S25" si="27">SUM(G9:R9)</f>
        <v>1443418</v>
      </c>
      <c r="T9" s="31">
        <f t="shared" si="1"/>
        <v>2500</v>
      </c>
      <c r="U9" s="32">
        <f>SUM(U10:U14)</f>
        <v>0</v>
      </c>
      <c r="V9" s="33">
        <f t="shared" si="2"/>
        <v>2500</v>
      </c>
      <c r="W9" s="31">
        <f t="shared" si="3"/>
        <v>82500</v>
      </c>
      <c r="X9" s="32">
        <f>SUM(X10:X14)</f>
        <v>69379.78</v>
      </c>
      <c r="Y9" s="33">
        <f t="shared" si="4"/>
        <v>13120.220000000001</v>
      </c>
      <c r="Z9" s="31">
        <f t="shared" si="5"/>
        <v>163120.22</v>
      </c>
      <c r="AA9" s="32">
        <f>SUM(AA10:AA14)</f>
        <v>70240.179999999993</v>
      </c>
      <c r="AB9" s="33">
        <f t="shared" si="6"/>
        <v>92880.040000000008</v>
      </c>
      <c r="AC9" s="31">
        <f t="shared" si="7"/>
        <v>190821.63</v>
      </c>
      <c r="AD9" s="32">
        <f>SUM(AD10:AD14)</f>
        <v>187289.52000000002</v>
      </c>
      <c r="AE9" s="33">
        <f t="shared" si="8"/>
        <v>3532.109999999986</v>
      </c>
      <c r="AF9" s="31">
        <f t="shared" si="9"/>
        <v>158232.51999999999</v>
      </c>
      <c r="AG9" s="32">
        <f>SUM(AG10:AG14)</f>
        <v>129491.44</v>
      </c>
      <c r="AH9" s="33">
        <f t="shared" si="10"/>
        <v>28741.079999999987</v>
      </c>
      <c r="AI9" s="31">
        <f t="shared" si="11"/>
        <v>341846.07999999996</v>
      </c>
      <c r="AJ9" s="32">
        <f>SUM(AJ10:AJ14)</f>
        <v>157583.69</v>
      </c>
      <c r="AK9" s="33">
        <f t="shared" si="12"/>
        <v>184262.38999999996</v>
      </c>
      <c r="AL9" s="31">
        <f t="shared" si="13"/>
        <v>379262.38999999996</v>
      </c>
      <c r="AM9" s="32">
        <f>SUM(AM10:AM14)</f>
        <v>136590.79999999999</v>
      </c>
      <c r="AN9" s="33">
        <f t="shared" si="14"/>
        <v>242671.58999999997</v>
      </c>
      <c r="AO9" s="31">
        <f t="shared" si="15"/>
        <v>411816.58999999997</v>
      </c>
      <c r="AP9" s="32">
        <f>SUM(AP10:AP14)</f>
        <v>153384.09</v>
      </c>
      <c r="AQ9" s="33">
        <f t="shared" si="16"/>
        <v>258432.49999999997</v>
      </c>
      <c r="AR9" s="34">
        <f t="shared" si="17"/>
        <v>376679.5</v>
      </c>
      <c r="AS9" s="32">
        <f>SUM(AS10:AS14)</f>
        <v>67060.92</v>
      </c>
      <c r="AT9" s="35">
        <f t="shared" si="18"/>
        <v>309618.58</v>
      </c>
      <c r="AU9" s="34">
        <f t="shared" si="19"/>
        <v>369618.58</v>
      </c>
      <c r="AV9" s="32">
        <f>SUM(AV10:AV14)</f>
        <v>68072.850000000006</v>
      </c>
      <c r="AW9" s="35">
        <f t="shared" si="20"/>
        <v>301545.73</v>
      </c>
      <c r="AX9" s="34">
        <f t="shared" si="21"/>
        <v>361545.73</v>
      </c>
      <c r="AY9" s="32">
        <f>SUM(AY10:AY14)</f>
        <v>68646.66</v>
      </c>
      <c r="AZ9" s="35">
        <f t="shared" si="22"/>
        <v>292899.06999999995</v>
      </c>
      <c r="BA9" s="34">
        <f t="shared" si="23"/>
        <v>335678.06999999995</v>
      </c>
      <c r="BB9" s="32">
        <f>SUM(BB10:BB14)</f>
        <v>325952.36</v>
      </c>
      <c r="BC9" s="35">
        <f t="shared" si="24"/>
        <v>9725.7099999999627</v>
      </c>
      <c r="BD9" s="36">
        <f>SUM(BD10:BD14)</f>
        <v>1433692.29</v>
      </c>
      <c r="BE9" s="22"/>
    </row>
    <row r="10" spans="4:57" s="6" customFormat="1" x14ac:dyDescent="0.25">
      <c r="D10" s="37"/>
      <c r="E10" s="37">
        <v>2610</v>
      </c>
      <c r="F10" s="37" t="s">
        <v>54</v>
      </c>
      <c r="G10" s="24">
        <f>90000-87500</f>
        <v>2500</v>
      </c>
      <c r="H10" s="24">
        <v>80000</v>
      </c>
      <c r="I10" s="24">
        <v>70000</v>
      </c>
      <c r="J10" s="24">
        <f>60000+17941.59</f>
        <v>77941.59</v>
      </c>
      <c r="K10" s="24">
        <f>60000+87500-17941.59-52433.24</f>
        <v>77125.170000000013</v>
      </c>
      <c r="L10" s="24">
        <f>60000+42089.24</f>
        <v>102089.23999999999</v>
      </c>
      <c r="M10" s="24">
        <v>60000</v>
      </c>
      <c r="N10" s="24">
        <f>60000+10344+20059.84</f>
        <v>90403.839999999997</v>
      </c>
      <c r="O10" s="24">
        <v>60000</v>
      </c>
      <c r="P10" s="24">
        <v>60000</v>
      </c>
      <c r="Q10" s="24">
        <v>60000</v>
      </c>
      <c r="R10" s="24">
        <v>42779</v>
      </c>
      <c r="S10" s="15">
        <f t="shared" si="27"/>
        <v>782838.84</v>
      </c>
      <c r="T10" s="16">
        <f t="shared" si="1"/>
        <v>2500</v>
      </c>
      <c r="U10" s="17"/>
      <c r="V10" s="18">
        <f t="shared" si="2"/>
        <v>2500</v>
      </c>
      <c r="W10" s="16">
        <f t="shared" si="3"/>
        <v>82500</v>
      </c>
      <c r="X10" s="17">
        <v>69379.78</v>
      </c>
      <c r="Y10" s="18">
        <f t="shared" si="4"/>
        <v>13120.220000000001</v>
      </c>
      <c r="Z10" s="16">
        <f t="shared" si="5"/>
        <v>83120.22</v>
      </c>
      <c r="AA10" s="17">
        <v>70240.179999999993</v>
      </c>
      <c r="AB10" s="18">
        <f t="shared" si="6"/>
        <v>12880.040000000008</v>
      </c>
      <c r="AC10" s="16">
        <f t="shared" si="7"/>
        <v>90821.63</v>
      </c>
      <c r="AD10" s="17">
        <v>90821.63</v>
      </c>
      <c r="AE10" s="18">
        <f t="shared" si="8"/>
        <v>0</v>
      </c>
      <c r="AF10" s="16">
        <f t="shared" si="9"/>
        <v>77125.170000000013</v>
      </c>
      <c r="AG10" s="17">
        <v>57058.2</v>
      </c>
      <c r="AH10" s="18">
        <f t="shared" si="10"/>
        <v>20066.970000000016</v>
      </c>
      <c r="AI10" s="16">
        <f t="shared" si="11"/>
        <v>122156.21</v>
      </c>
      <c r="AJ10" s="17">
        <v>53659.88</v>
      </c>
      <c r="AK10" s="18">
        <f t="shared" si="12"/>
        <v>68496.330000000016</v>
      </c>
      <c r="AL10" s="16">
        <f t="shared" si="13"/>
        <v>128496.33000000002</v>
      </c>
      <c r="AM10" s="17">
        <v>57831.88</v>
      </c>
      <c r="AN10" s="18">
        <f t="shared" si="14"/>
        <v>70664.450000000012</v>
      </c>
      <c r="AO10" s="16">
        <f t="shared" si="15"/>
        <v>161068.29</v>
      </c>
      <c r="AP10" s="17">
        <v>61341.07</v>
      </c>
      <c r="AQ10" s="18">
        <f t="shared" si="16"/>
        <v>99727.22</v>
      </c>
      <c r="AR10" s="19">
        <f t="shared" si="17"/>
        <v>159727.22</v>
      </c>
      <c r="AS10" s="17">
        <v>53425.72</v>
      </c>
      <c r="AT10" s="20">
        <f t="shared" si="18"/>
        <v>106301.5</v>
      </c>
      <c r="AU10" s="19">
        <f t="shared" si="19"/>
        <v>166301.5</v>
      </c>
      <c r="AV10" s="17">
        <v>51710.96</v>
      </c>
      <c r="AW10" s="20">
        <f t="shared" si="20"/>
        <v>114590.54000000001</v>
      </c>
      <c r="AX10" s="19">
        <f t="shared" si="21"/>
        <v>174590.54</v>
      </c>
      <c r="AY10" s="17">
        <v>68646.66</v>
      </c>
      <c r="AZ10" s="20">
        <f t="shared" si="22"/>
        <v>105943.88</v>
      </c>
      <c r="BA10" s="19">
        <f t="shared" si="23"/>
        <v>148722.88</v>
      </c>
      <c r="BB10" s="17">
        <f>69509.78+69487.9</f>
        <v>138997.68</v>
      </c>
      <c r="BC10" s="20">
        <f t="shared" si="24"/>
        <v>9725.2000000000116</v>
      </c>
      <c r="BD10" s="21">
        <f>S10-BC10</f>
        <v>773113.6399999999</v>
      </c>
      <c r="BE10" s="22"/>
    </row>
    <row r="11" spans="4:57" s="6" customFormat="1" x14ac:dyDescent="0.25">
      <c r="D11" s="37"/>
      <c r="E11" s="37">
        <v>2610</v>
      </c>
      <c r="F11" s="37" t="s">
        <v>53</v>
      </c>
      <c r="G11" s="24"/>
      <c r="H11" s="24"/>
      <c r="I11" s="24"/>
      <c r="J11" s="24"/>
      <c r="K11" s="24"/>
      <c r="L11" s="24">
        <v>140000</v>
      </c>
      <c r="M11" s="24">
        <f>120000-18184.42</f>
        <v>101815.58</v>
      </c>
      <c r="N11" s="24">
        <f>98801-30000-68801</f>
        <v>0</v>
      </c>
      <c r="O11" s="24"/>
      <c r="P11" s="24"/>
      <c r="Q11" s="24"/>
      <c r="R11" s="24"/>
      <c r="S11" s="15">
        <f t="shared" si="27"/>
        <v>241815.58000000002</v>
      </c>
      <c r="T11" s="16">
        <f t="shared" si="1"/>
        <v>0</v>
      </c>
      <c r="U11" s="17"/>
      <c r="V11" s="18">
        <f t="shared" si="2"/>
        <v>0</v>
      </c>
      <c r="W11" s="16">
        <f t="shared" si="3"/>
        <v>0</v>
      </c>
      <c r="X11" s="17"/>
      <c r="Y11" s="18">
        <f t="shared" si="4"/>
        <v>0</v>
      </c>
      <c r="Z11" s="16">
        <f t="shared" si="5"/>
        <v>0</v>
      </c>
      <c r="AA11" s="17"/>
      <c r="AB11" s="18">
        <f t="shared" si="6"/>
        <v>0</v>
      </c>
      <c r="AC11" s="16">
        <f t="shared" si="7"/>
        <v>0</v>
      </c>
      <c r="AD11" s="17"/>
      <c r="AE11" s="18">
        <f t="shared" si="8"/>
        <v>0</v>
      </c>
      <c r="AF11" s="16">
        <f t="shared" si="9"/>
        <v>0</v>
      </c>
      <c r="AG11" s="17"/>
      <c r="AH11" s="18">
        <f t="shared" si="10"/>
        <v>0</v>
      </c>
      <c r="AI11" s="16">
        <f t="shared" si="11"/>
        <v>140000</v>
      </c>
      <c r="AJ11" s="17">
        <v>78758.92</v>
      </c>
      <c r="AK11" s="18">
        <f t="shared" si="12"/>
        <v>61241.08</v>
      </c>
      <c r="AL11" s="16">
        <f t="shared" si="13"/>
        <v>163056.66</v>
      </c>
      <c r="AM11" s="17">
        <v>78758.92</v>
      </c>
      <c r="AN11" s="18">
        <f t="shared" si="14"/>
        <v>84297.74</v>
      </c>
      <c r="AO11" s="16">
        <f t="shared" si="15"/>
        <v>84297.74</v>
      </c>
      <c r="AP11" s="17">
        <v>84297.74</v>
      </c>
      <c r="AQ11" s="18">
        <f t="shared" si="16"/>
        <v>0</v>
      </c>
      <c r="AR11" s="19">
        <f t="shared" si="17"/>
        <v>0</v>
      </c>
      <c r="AS11" s="17"/>
      <c r="AT11" s="20">
        <f t="shared" si="18"/>
        <v>0</v>
      </c>
      <c r="AU11" s="19">
        <f t="shared" si="19"/>
        <v>0</v>
      </c>
      <c r="AV11" s="17"/>
      <c r="AW11" s="20">
        <f t="shared" si="20"/>
        <v>0</v>
      </c>
      <c r="AX11" s="19">
        <f t="shared" si="21"/>
        <v>0</v>
      </c>
      <c r="AY11" s="17"/>
      <c r="AZ11" s="20">
        <f t="shared" si="22"/>
        <v>0</v>
      </c>
      <c r="BA11" s="19">
        <f t="shared" si="23"/>
        <v>0</v>
      </c>
      <c r="BB11" s="17"/>
      <c r="BC11" s="20">
        <f t="shared" si="24"/>
        <v>0</v>
      </c>
      <c r="BD11" s="21">
        <f>S11-BC11</f>
        <v>241815.58000000002</v>
      </c>
      <c r="BE11" s="22"/>
    </row>
    <row r="12" spans="4:57" s="6" customFormat="1" x14ac:dyDescent="0.25">
      <c r="D12" s="37"/>
      <c r="E12" s="37">
        <v>2610</v>
      </c>
      <c r="F12" s="37" t="s">
        <v>55</v>
      </c>
      <c r="G12" s="24"/>
      <c r="H12" s="24"/>
      <c r="I12" s="24"/>
      <c r="J12" s="24"/>
      <c r="K12" s="24">
        <f>35670-30528</f>
        <v>5142</v>
      </c>
      <c r="L12" s="24">
        <f>22577+30528-7284.13</f>
        <v>45820.87</v>
      </c>
      <c r="M12" s="24">
        <v>7284.13</v>
      </c>
      <c r="N12" s="24"/>
      <c r="O12" s="24">
        <v>58247</v>
      </c>
      <c r="P12" s="24"/>
      <c r="Q12" s="24"/>
      <c r="R12" s="24"/>
      <c r="S12" s="15">
        <f t="shared" si="27"/>
        <v>116494</v>
      </c>
      <c r="T12" s="16">
        <f t="shared" si="1"/>
        <v>0</v>
      </c>
      <c r="U12" s="17"/>
      <c r="V12" s="18">
        <f t="shared" si="2"/>
        <v>0</v>
      </c>
      <c r="W12" s="16">
        <f t="shared" si="3"/>
        <v>0</v>
      </c>
      <c r="X12" s="17"/>
      <c r="Y12" s="18">
        <f t="shared" si="4"/>
        <v>0</v>
      </c>
      <c r="Z12" s="16">
        <f t="shared" si="5"/>
        <v>0</v>
      </c>
      <c r="AA12" s="17"/>
      <c r="AB12" s="18">
        <f t="shared" si="6"/>
        <v>0</v>
      </c>
      <c r="AC12" s="16">
        <f t="shared" si="7"/>
        <v>0</v>
      </c>
      <c r="AD12" s="17"/>
      <c r="AE12" s="18">
        <f t="shared" si="8"/>
        <v>0</v>
      </c>
      <c r="AF12" s="16">
        <f t="shared" si="9"/>
        <v>5142</v>
      </c>
      <c r="AG12" s="17"/>
      <c r="AH12" s="18">
        <f t="shared" si="10"/>
        <v>5142</v>
      </c>
      <c r="AI12" s="16">
        <f t="shared" si="11"/>
        <v>50962.87</v>
      </c>
      <c r="AJ12" s="17"/>
      <c r="AK12" s="18">
        <f t="shared" si="12"/>
        <v>50962.87</v>
      </c>
      <c r="AL12" s="16">
        <f t="shared" si="13"/>
        <v>58247</v>
      </c>
      <c r="AM12" s="17"/>
      <c r="AN12" s="18">
        <f t="shared" si="14"/>
        <v>58247</v>
      </c>
      <c r="AO12" s="16">
        <f t="shared" si="15"/>
        <v>58247</v>
      </c>
      <c r="AP12" s="17"/>
      <c r="AQ12" s="18">
        <f t="shared" si="16"/>
        <v>58247</v>
      </c>
      <c r="AR12" s="19">
        <f t="shared" si="17"/>
        <v>116494</v>
      </c>
      <c r="AS12" s="17"/>
      <c r="AT12" s="20">
        <f t="shared" si="18"/>
        <v>116494</v>
      </c>
      <c r="AU12" s="19">
        <f t="shared" si="19"/>
        <v>116494</v>
      </c>
      <c r="AV12" s="17"/>
      <c r="AW12" s="20">
        <f t="shared" si="20"/>
        <v>116494</v>
      </c>
      <c r="AX12" s="19">
        <f t="shared" si="21"/>
        <v>116494</v>
      </c>
      <c r="AY12" s="17"/>
      <c r="AZ12" s="20">
        <f t="shared" si="22"/>
        <v>116494</v>
      </c>
      <c r="BA12" s="19">
        <f t="shared" si="23"/>
        <v>116494</v>
      </c>
      <c r="BB12" s="17">
        <v>116493.49</v>
      </c>
      <c r="BC12" s="20">
        <f t="shared" si="24"/>
        <v>0.50999999999476131</v>
      </c>
      <c r="BD12" s="21">
        <f>S12-BC12</f>
        <v>116493.49</v>
      </c>
      <c r="BE12" s="22"/>
    </row>
    <row r="13" spans="4:57" s="6" customFormat="1" x14ac:dyDescent="0.25">
      <c r="D13" s="37"/>
      <c r="E13" s="37">
        <v>2610</v>
      </c>
      <c r="F13" s="37" t="s">
        <v>56</v>
      </c>
      <c r="G13" s="24"/>
      <c r="H13" s="24"/>
      <c r="I13" s="24"/>
      <c r="J13" s="24"/>
      <c r="K13" s="24">
        <f>20000+52433.24</f>
        <v>72433.239999999991</v>
      </c>
      <c r="L13" s="24">
        <f>60000-42089.24+7284.13</f>
        <v>25194.890000000003</v>
      </c>
      <c r="M13" s="24">
        <f>15000-7284.13</f>
        <v>7715.87</v>
      </c>
      <c r="N13" s="24">
        <f>10344-10344+30000-3.5</f>
        <v>29996.5</v>
      </c>
      <c r="O13" s="24"/>
      <c r="P13" s="24"/>
      <c r="Q13" s="24"/>
      <c r="R13" s="24"/>
      <c r="S13" s="15">
        <f t="shared" si="27"/>
        <v>135340.5</v>
      </c>
      <c r="T13" s="16">
        <f t="shared" si="1"/>
        <v>0</v>
      </c>
      <c r="U13" s="17"/>
      <c r="V13" s="18">
        <f t="shared" si="2"/>
        <v>0</v>
      </c>
      <c r="W13" s="16">
        <f t="shared" si="3"/>
        <v>0</v>
      </c>
      <c r="X13" s="17"/>
      <c r="Y13" s="18">
        <f t="shared" si="4"/>
        <v>0</v>
      </c>
      <c r="Z13" s="16">
        <f t="shared" si="5"/>
        <v>0</v>
      </c>
      <c r="AA13" s="17"/>
      <c r="AB13" s="18">
        <f t="shared" si="6"/>
        <v>0</v>
      </c>
      <c r="AC13" s="16">
        <f t="shared" si="7"/>
        <v>0</v>
      </c>
      <c r="AD13" s="17"/>
      <c r="AE13" s="18">
        <f t="shared" si="8"/>
        <v>0</v>
      </c>
      <c r="AF13" s="16">
        <f t="shared" si="9"/>
        <v>72433.239999999991</v>
      </c>
      <c r="AG13" s="17">
        <v>72433.240000000005</v>
      </c>
      <c r="AH13" s="18">
        <f t="shared" si="10"/>
        <v>0</v>
      </c>
      <c r="AI13" s="16">
        <f t="shared" si="11"/>
        <v>25194.890000000003</v>
      </c>
      <c r="AJ13" s="17">
        <f>13663.79+11501.1</f>
        <v>25164.89</v>
      </c>
      <c r="AK13" s="18">
        <f t="shared" si="12"/>
        <v>30.000000000003638</v>
      </c>
      <c r="AL13" s="16">
        <f t="shared" si="13"/>
        <v>7745.8700000000035</v>
      </c>
      <c r="AM13" s="17"/>
      <c r="AN13" s="18">
        <f t="shared" si="14"/>
        <v>7745.8700000000035</v>
      </c>
      <c r="AO13" s="16">
        <f t="shared" si="15"/>
        <v>37742.370000000003</v>
      </c>
      <c r="AP13" s="17">
        <v>7745.28</v>
      </c>
      <c r="AQ13" s="18">
        <f t="shared" si="16"/>
        <v>29997.090000000004</v>
      </c>
      <c r="AR13" s="19">
        <f t="shared" si="17"/>
        <v>29997.090000000004</v>
      </c>
      <c r="AS13" s="17">
        <v>13635.2</v>
      </c>
      <c r="AT13" s="20">
        <f t="shared" si="18"/>
        <v>16361.890000000003</v>
      </c>
      <c r="AU13" s="19">
        <f t="shared" si="19"/>
        <v>16361.890000000003</v>
      </c>
      <c r="AV13" s="17">
        <v>16361.89</v>
      </c>
      <c r="AW13" s="20">
        <f t="shared" si="20"/>
        <v>0</v>
      </c>
      <c r="AX13" s="19">
        <f t="shared" si="21"/>
        <v>0</v>
      </c>
      <c r="AY13" s="17"/>
      <c r="AZ13" s="20">
        <f t="shared" si="22"/>
        <v>0</v>
      </c>
      <c r="BA13" s="19">
        <f t="shared" si="23"/>
        <v>0</v>
      </c>
      <c r="BB13" s="17"/>
      <c r="BC13" s="20">
        <f t="shared" si="24"/>
        <v>0</v>
      </c>
      <c r="BD13" s="21">
        <f>S13-BC13</f>
        <v>135340.5</v>
      </c>
      <c r="BE13" s="22"/>
    </row>
    <row r="14" spans="4:57" s="6" customFormat="1" x14ac:dyDescent="0.25">
      <c r="D14" s="37"/>
      <c r="E14" s="37">
        <v>2610</v>
      </c>
      <c r="F14" s="37" t="s">
        <v>57</v>
      </c>
      <c r="G14" s="24"/>
      <c r="H14" s="24"/>
      <c r="I14" s="24">
        <v>80000</v>
      </c>
      <c r="J14" s="24">
        <v>20000</v>
      </c>
      <c r="K14" s="24">
        <f>50000-50000</f>
        <v>0</v>
      </c>
      <c r="L14" s="24"/>
      <c r="M14" s="24">
        <v>18184.419999999998</v>
      </c>
      <c r="N14" s="24">
        <f>68801-20056.34</f>
        <v>48744.66</v>
      </c>
      <c r="O14" s="24"/>
      <c r="P14" s="24">
        <f>50000-50000</f>
        <v>0</v>
      </c>
      <c r="Q14" s="24"/>
      <c r="R14" s="24"/>
      <c r="S14" s="15">
        <f t="shared" si="27"/>
        <v>166929.08000000002</v>
      </c>
      <c r="T14" s="16">
        <f t="shared" si="1"/>
        <v>0</v>
      </c>
      <c r="U14" s="17"/>
      <c r="V14" s="18">
        <f t="shared" si="2"/>
        <v>0</v>
      </c>
      <c r="W14" s="16">
        <f t="shared" si="3"/>
        <v>0</v>
      </c>
      <c r="X14" s="17"/>
      <c r="Y14" s="18">
        <f t="shared" si="4"/>
        <v>0</v>
      </c>
      <c r="Z14" s="16">
        <f t="shared" si="5"/>
        <v>80000</v>
      </c>
      <c r="AA14" s="17"/>
      <c r="AB14" s="18">
        <f t="shared" si="6"/>
        <v>80000</v>
      </c>
      <c r="AC14" s="16">
        <f t="shared" si="7"/>
        <v>100000</v>
      </c>
      <c r="AD14" s="17">
        <v>96467.89</v>
      </c>
      <c r="AE14" s="18">
        <f t="shared" si="8"/>
        <v>3532.1100000000006</v>
      </c>
      <c r="AF14" s="16">
        <f t="shared" si="9"/>
        <v>3532.1100000000006</v>
      </c>
      <c r="AG14" s="17"/>
      <c r="AH14" s="18">
        <f t="shared" si="10"/>
        <v>3532.1100000000006</v>
      </c>
      <c r="AI14" s="16">
        <f t="shared" si="11"/>
        <v>3532.1100000000006</v>
      </c>
      <c r="AJ14" s="17"/>
      <c r="AK14" s="18">
        <f t="shared" si="12"/>
        <v>3532.1100000000006</v>
      </c>
      <c r="AL14" s="16">
        <f t="shared" si="13"/>
        <v>21716.53</v>
      </c>
      <c r="AM14" s="17"/>
      <c r="AN14" s="18">
        <f t="shared" si="14"/>
        <v>21716.53</v>
      </c>
      <c r="AO14" s="16">
        <f t="shared" si="15"/>
        <v>70461.19</v>
      </c>
      <c r="AP14" s="17"/>
      <c r="AQ14" s="18">
        <f t="shared" si="16"/>
        <v>70461.19</v>
      </c>
      <c r="AR14" s="19">
        <f t="shared" si="17"/>
        <v>70461.19</v>
      </c>
      <c r="AS14" s="17"/>
      <c r="AT14" s="20">
        <f t="shared" si="18"/>
        <v>70461.19</v>
      </c>
      <c r="AU14" s="19">
        <f t="shared" si="19"/>
        <v>70461.19</v>
      </c>
      <c r="AV14" s="17"/>
      <c r="AW14" s="20">
        <f t="shared" si="20"/>
        <v>70461.19</v>
      </c>
      <c r="AX14" s="19">
        <f t="shared" si="21"/>
        <v>70461.19</v>
      </c>
      <c r="AY14" s="17"/>
      <c r="AZ14" s="20">
        <f t="shared" si="22"/>
        <v>70461.19</v>
      </c>
      <c r="BA14" s="19">
        <f t="shared" si="23"/>
        <v>70461.19</v>
      </c>
      <c r="BB14" s="17">
        <v>70461.19</v>
      </c>
      <c r="BC14" s="20">
        <f t="shared" si="24"/>
        <v>0</v>
      </c>
      <c r="BD14" s="21">
        <f>S14-BC14</f>
        <v>166929.08000000002</v>
      </c>
      <c r="BE14" s="22"/>
    </row>
    <row r="15" spans="4:57" s="46" customFormat="1" ht="94.5" x14ac:dyDescent="0.25">
      <c r="D15" s="27"/>
      <c r="E15" s="27"/>
      <c r="F15" s="28" t="s">
        <v>43</v>
      </c>
      <c r="G15" s="38">
        <f>SUM(G16:G25)</f>
        <v>0</v>
      </c>
      <c r="H15" s="38">
        <f t="shared" ref="H15:R15" si="28">SUM(H16:H25)</f>
        <v>1485742.9</v>
      </c>
      <c r="I15" s="38">
        <f t="shared" si="28"/>
        <v>524147</v>
      </c>
      <c r="J15" s="38">
        <f t="shared" si="28"/>
        <v>1103184.25</v>
      </c>
      <c r="K15" s="38">
        <f t="shared" si="28"/>
        <v>1462964.09</v>
      </c>
      <c r="L15" s="38">
        <f t="shared" si="28"/>
        <v>883307.24999999988</v>
      </c>
      <c r="M15" s="38">
        <f t="shared" si="28"/>
        <v>1871621.3399999999</v>
      </c>
      <c r="N15" s="38">
        <f t="shared" si="28"/>
        <v>2421138.16</v>
      </c>
      <c r="O15" s="38">
        <f t="shared" si="28"/>
        <v>1720549</v>
      </c>
      <c r="P15" s="38">
        <f t="shared" si="28"/>
        <v>353528.17999999988</v>
      </c>
      <c r="Q15" s="38">
        <f t="shared" si="28"/>
        <v>1173657.9099999999</v>
      </c>
      <c r="R15" s="38">
        <f t="shared" si="28"/>
        <v>825391.91999999993</v>
      </c>
      <c r="S15" s="30">
        <f t="shared" si="27"/>
        <v>13825232</v>
      </c>
      <c r="T15" s="31">
        <f t="shared" si="1"/>
        <v>0</v>
      </c>
      <c r="U15" s="32">
        <f>SUM(U16:U25)</f>
        <v>0</v>
      </c>
      <c r="V15" s="33">
        <f t="shared" si="2"/>
        <v>0</v>
      </c>
      <c r="W15" s="31">
        <f t="shared" si="3"/>
        <v>1485742.9</v>
      </c>
      <c r="X15" s="32">
        <f>SUM(X16:X25)</f>
        <v>1121877.8800000001</v>
      </c>
      <c r="Y15" s="33">
        <f t="shared" si="4"/>
        <v>363865.01999999979</v>
      </c>
      <c r="Z15" s="31">
        <f t="shared" si="5"/>
        <v>888012.01999999979</v>
      </c>
      <c r="AA15" s="32">
        <f>SUM(AA16:AA25)</f>
        <v>865166.62000000011</v>
      </c>
      <c r="AB15" s="33">
        <f t="shared" si="6"/>
        <v>22845.399999999674</v>
      </c>
      <c r="AC15" s="31">
        <f t="shared" si="7"/>
        <v>1126029.6499999997</v>
      </c>
      <c r="AD15" s="32">
        <f>SUM(AD16:AD25)</f>
        <v>1038450.1</v>
      </c>
      <c r="AE15" s="33">
        <f t="shared" si="8"/>
        <v>87579.549999999697</v>
      </c>
      <c r="AF15" s="31">
        <f t="shared" si="9"/>
        <v>1550543.6399999997</v>
      </c>
      <c r="AG15" s="32">
        <f>SUM(AG16:AG25)</f>
        <v>528927.48</v>
      </c>
      <c r="AH15" s="33">
        <f t="shared" si="10"/>
        <v>1021616.1599999997</v>
      </c>
      <c r="AI15" s="31">
        <f t="shared" si="11"/>
        <v>1904923.4099999997</v>
      </c>
      <c r="AJ15" s="32">
        <f>SUM(AJ16:AJ25)</f>
        <v>1294863.3</v>
      </c>
      <c r="AK15" s="33">
        <f>AI15-AJ15</f>
        <v>610060.10999999964</v>
      </c>
      <c r="AL15" s="31">
        <f t="shared" si="13"/>
        <v>2481681.4499999993</v>
      </c>
      <c r="AM15" s="32">
        <f>SUM(AM16:AM25)</f>
        <v>1560771.15</v>
      </c>
      <c r="AN15" s="33">
        <f t="shared" si="14"/>
        <v>920910.29999999935</v>
      </c>
      <c r="AO15" s="31">
        <f t="shared" si="15"/>
        <v>3342048.4599999995</v>
      </c>
      <c r="AP15" s="32">
        <f>SUM(AP16:AP25)</f>
        <v>1418710.3699999999</v>
      </c>
      <c r="AQ15" s="33">
        <f t="shared" si="16"/>
        <v>1923338.0899999996</v>
      </c>
      <c r="AR15" s="34">
        <f t="shared" si="17"/>
        <v>3643887.09</v>
      </c>
      <c r="AS15" s="32">
        <f>SUM(AS16:AS25)</f>
        <v>845857.48</v>
      </c>
      <c r="AT15" s="35">
        <f t="shared" si="18"/>
        <v>2798029.61</v>
      </c>
      <c r="AU15" s="34">
        <f t="shared" si="19"/>
        <v>3151557.7899999996</v>
      </c>
      <c r="AV15" s="32">
        <f>SUM(AV16:AV25)</f>
        <v>1491498.3</v>
      </c>
      <c r="AW15" s="35">
        <f t="shared" si="20"/>
        <v>1660059.4899999995</v>
      </c>
      <c r="AX15" s="34">
        <f t="shared" si="21"/>
        <v>2833717.3999999994</v>
      </c>
      <c r="AY15" s="32">
        <f>SUM(AY16:AY25)</f>
        <v>2130224.42</v>
      </c>
      <c r="AZ15" s="35">
        <f t="shared" si="22"/>
        <v>703492.97999999952</v>
      </c>
      <c r="BA15" s="34">
        <f t="shared" si="23"/>
        <v>1528884.8999999994</v>
      </c>
      <c r="BB15" s="32">
        <f>SUM(BB16:BB25)</f>
        <v>1528884.9000000004</v>
      </c>
      <c r="BC15" s="35">
        <f t="shared" si="24"/>
        <v>0</v>
      </c>
      <c r="BD15" s="36">
        <f>SUM(BD16:BD25)</f>
        <v>13825232</v>
      </c>
      <c r="BE15" s="22"/>
    </row>
    <row r="16" spans="4:57" s="6" customFormat="1" ht="31.5" x14ac:dyDescent="0.25">
      <c r="D16" s="37"/>
      <c r="E16" s="37">
        <v>2610</v>
      </c>
      <c r="F16" s="39" t="s">
        <v>58</v>
      </c>
      <c r="G16" s="24">
        <f>1000000-1000000</f>
        <v>0</v>
      </c>
      <c r="H16" s="24">
        <f>900000+400000+69962.3</f>
        <v>1369962.3</v>
      </c>
      <c r="I16" s="24">
        <f>850000+216000-201537-459444</f>
        <v>405019</v>
      </c>
      <c r="J16" s="24">
        <f>700000+201537+192486-69962.3-17941.59-34844.59</f>
        <v>971274.52</v>
      </c>
      <c r="K16" s="24">
        <f>650000+384000+60000+17941.59-24000-4831-32998.81</f>
        <v>1050111.78</v>
      </c>
      <c r="L16" s="24">
        <f>750000+90000+4831-806309.34-38521.66</f>
        <v>0</v>
      </c>
      <c r="M16" s="24">
        <f>750000+806309.34-159232.21-100000-70593.38</f>
        <v>1226483.75</v>
      </c>
      <c r="N16" s="24">
        <f>815500+33399+32998.81+100000+109115.04+746.44</f>
        <v>1091759.29</v>
      </c>
      <c r="O16" s="24">
        <f>1000000+83559+80000</f>
        <v>1163559</v>
      </c>
      <c r="P16" s="24">
        <f>1030000+99232.21-261079.91-775390+40000</f>
        <v>132762.29999999993</v>
      </c>
      <c r="Q16" s="24">
        <f>604500+58844.59+261079.91+40000</f>
        <v>964424.5</v>
      </c>
      <c r="R16" s="24">
        <f>450000+60000+775390+40000-499998.08</f>
        <v>825391.91999999993</v>
      </c>
      <c r="S16" s="15">
        <f t="shared" si="27"/>
        <v>9200748.3599999994</v>
      </c>
      <c r="T16" s="16">
        <f t="shared" si="1"/>
        <v>0</v>
      </c>
      <c r="U16" s="17"/>
      <c r="V16" s="18">
        <f t="shared" si="2"/>
        <v>0</v>
      </c>
      <c r="W16" s="16">
        <f t="shared" si="3"/>
        <v>1369962.3</v>
      </c>
      <c r="X16" s="17">
        <f>337814.69+288019.6+213516.54+201540.86</f>
        <v>1040891.6900000001</v>
      </c>
      <c r="Y16" s="18">
        <f t="shared" si="4"/>
        <v>329070.61</v>
      </c>
      <c r="Z16" s="16">
        <f t="shared" si="5"/>
        <v>734089.61</v>
      </c>
      <c r="AA16" s="17">
        <f>361945.61+372144</f>
        <v>734089.61</v>
      </c>
      <c r="AB16" s="18">
        <f t="shared" si="6"/>
        <v>0</v>
      </c>
      <c r="AC16" s="16">
        <f t="shared" si="7"/>
        <v>971274.52</v>
      </c>
      <c r="AD16" s="17">
        <f>455888.22+515386.3</f>
        <v>971274.52</v>
      </c>
      <c r="AE16" s="18">
        <f t="shared" si="8"/>
        <v>0</v>
      </c>
      <c r="AF16" s="16">
        <f t="shared" si="9"/>
        <v>1050111.78</v>
      </c>
      <c r="AG16" s="17">
        <v>386877.71</v>
      </c>
      <c r="AH16" s="18">
        <f t="shared" si="10"/>
        <v>663234.07000000007</v>
      </c>
      <c r="AI16" s="16">
        <f t="shared" si="11"/>
        <v>663234.07000000007</v>
      </c>
      <c r="AJ16" s="17">
        <f>245126.92+399736.92</f>
        <v>644863.84</v>
      </c>
      <c r="AK16" s="18">
        <f t="shared" si="12"/>
        <v>18370.230000000098</v>
      </c>
      <c r="AL16" s="16">
        <f t="shared" si="13"/>
        <v>1244853.98</v>
      </c>
      <c r="AM16" s="17">
        <f>489421.86+312702.47</f>
        <v>802124.33</v>
      </c>
      <c r="AN16" s="18">
        <f t="shared" si="14"/>
        <v>442729.65</v>
      </c>
      <c r="AO16" s="16">
        <f t="shared" si="15"/>
        <v>1534488.94</v>
      </c>
      <c r="AP16" s="17">
        <f>324018.11+351652.63</f>
        <v>675670.74</v>
      </c>
      <c r="AQ16" s="18">
        <f t="shared" si="16"/>
        <v>858818.2</v>
      </c>
      <c r="AR16" s="19">
        <f t="shared" si="17"/>
        <v>2022377.2</v>
      </c>
      <c r="AS16" s="17">
        <v>378864.68</v>
      </c>
      <c r="AT16" s="20">
        <f t="shared" si="18"/>
        <v>1643512.52</v>
      </c>
      <c r="AU16" s="19">
        <f t="shared" si="19"/>
        <v>1776274.8199999998</v>
      </c>
      <c r="AV16" s="17">
        <f>332594.38+296035.1+299473.25</f>
        <v>928102.73</v>
      </c>
      <c r="AW16" s="20">
        <f t="shared" si="20"/>
        <v>848172.08999999985</v>
      </c>
      <c r="AX16" s="19">
        <f t="shared" si="21"/>
        <v>1812596.5899999999</v>
      </c>
      <c r="AY16" s="17">
        <f>421039.84+393349.04+757768.98</f>
        <v>1572157.8599999999</v>
      </c>
      <c r="AZ16" s="20">
        <f t="shared" si="22"/>
        <v>240438.72999999998</v>
      </c>
      <c r="BA16" s="19">
        <f t="shared" si="23"/>
        <v>1065830.6499999999</v>
      </c>
      <c r="BB16" s="17">
        <f>333921.07+282641.76+290066.35+159201.47</f>
        <v>1065830.6500000001</v>
      </c>
      <c r="BC16" s="20">
        <f t="shared" si="24"/>
        <v>0</v>
      </c>
      <c r="BD16" s="21">
        <f t="shared" ref="BD16:BD24" si="29">S16-BC16</f>
        <v>9200748.3599999994</v>
      </c>
      <c r="BE16" s="22"/>
    </row>
    <row r="17" spans="4:57" s="6" customFormat="1" x14ac:dyDescent="0.25">
      <c r="D17" s="37"/>
      <c r="E17" s="37">
        <v>2610</v>
      </c>
      <c r="F17" s="39" t="s">
        <v>45</v>
      </c>
      <c r="G17" s="24">
        <f>80000-80000</f>
        <v>0</v>
      </c>
      <c r="H17" s="24">
        <f>80000+80000-102929.15</f>
        <v>57070.850000000006</v>
      </c>
      <c r="I17" s="24">
        <v>50000</v>
      </c>
      <c r="J17" s="24">
        <f>60000+75014.73-97105</f>
        <v>37909.729999999981</v>
      </c>
      <c r="K17" s="24">
        <f>60000+4831</f>
        <v>64831</v>
      </c>
      <c r="L17" s="24">
        <f>120000+27914.42+26910-4831</f>
        <v>169993.41999999998</v>
      </c>
      <c r="M17" s="24">
        <v>75312</v>
      </c>
      <c r="N17" s="24">
        <v>114688</v>
      </c>
      <c r="O17" s="24">
        <f>100000+40961.59</f>
        <v>140961.59</v>
      </c>
      <c r="P17" s="24">
        <v>80000</v>
      </c>
      <c r="Q17" s="24">
        <f>80000+29233.41</f>
        <v>109233.41</v>
      </c>
      <c r="R17" s="24"/>
      <c r="S17" s="15">
        <f t="shared" si="27"/>
        <v>900000</v>
      </c>
      <c r="T17" s="16">
        <f t="shared" si="1"/>
        <v>0</v>
      </c>
      <c r="U17" s="17"/>
      <c r="V17" s="18">
        <f t="shared" si="2"/>
        <v>0</v>
      </c>
      <c r="W17" s="16">
        <f t="shared" si="3"/>
        <v>57070.850000000006</v>
      </c>
      <c r="X17" s="17">
        <v>80986.19</v>
      </c>
      <c r="Y17" s="18">
        <f t="shared" si="4"/>
        <v>-23915.339999999997</v>
      </c>
      <c r="Z17" s="16">
        <f t="shared" si="5"/>
        <v>26084.660000000003</v>
      </c>
      <c r="AA17" s="17">
        <v>23787.43</v>
      </c>
      <c r="AB17" s="18">
        <f t="shared" si="6"/>
        <v>2297.2300000000032</v>
      </c>
      <c r="AC17" s="16">
        <f t="shared" si="7"/>
        <v>40206.959999999985</v>
      </c>
      <c r="AD17" s="17">
        <v>40206.959999999999</v>
      </c>
      <c r="AE17" s="18">
        <f t="shared" si="8"/>
        <v>0</v>
      </c>
      <c r="AF17" s="16">
        <f t="shared" si="9"/>
        <v>64831</v>
      </c>
      <c r="AG17" s="17">
        <v>64830.13</v>
      </c>
      <c r="AH17" s="18">
        <f t="shared" si="10"/>
        <v>0.87000000000261934</v>
      </c>
      <c r="AI17" s="16">
        <f t="shared" si="11"/>
        <v>169994.28999999998</v>
      </c>
      <c r="AJ17" s="17">
        <f>69081.48+11974.15</f>
        <v>81055.62999999999</v>
      </c>
      <c r="AK17" s="18">
        <f t="shared" si="12"/>
        <v>88938.659999999989</v>
      </c>
      <c r="AL17" s="16">
        <f t="shared" si="13"/>
        <v>164250.65999999997</v>
      </c>
      <c r="AM17" s="17">
        <f>15522.5</f>
        <v>15522.5</v>
      </c>
      <c r="AN17" s="18">
        <f t="shared" si="14"/>
        <v>148728.15999999997</v>
      </c>
      <c r="AO17" s="16">
        <f t="shared" si="15"/>
        <v>263416.15999999997</v>
      </c>
      <c r="AP17" s="17">
        <v>57700.92</v>
      </c>
      <c r="AQ17" s="18">
        <f t="shared" si="16"/>
        <v>205715.24</v>
      </c>
      <c r="AR17" s="19">
        <f t="shared" si="17"/>
        <v>346676.82999999996</v>
      </c>
      <c r="AS17" s="17"/>
      <c r="AT17" s="20">
        <f t="shared" si="18"/>
        <v>346676.82999999996</v>
      </c>
      <c r="AU17" s="19">
        <f t="shared" si="19"/>
        <v>426676.82999999996</v>
      </c>
      <c r="AV17" s="17">
        <f>53584.8+84866.15</f>
        <v>138450.95000000001</v>
      </c>
      <c r="AW17" s="20">
        <f t="shared" si="20"/>
        <v>288225.87999999995</v>
      </c>
      <c r="AX17" s="19">
        <f t="shared" si="21"/>
        <v>397459.28999999992</v>
      </c>
      <c r="AY17" s="17">
        <v>129500.93</v>
      </c>
      <c r="AZ17" s="20">
        <f t="shared" si="22"/>
        <v>267958.35999999993</v>
      </c>
      <c r="BA17" s="19">
        <f t="shared" si="23"/>
        <v>267958.35999999993</v>
      </c>
      <c r="BB17" s="17">
        <f>82462.08+31606.26+153890.02</f>
        <v>267958.36</v>
      </c>
      <c r="BC17" s="20">
        <f t="shared" si="24"/>
        <v>0</v>
      </c>
      <c r="BD17" s="21">
        <f t="shared" si="29"/>
        <v>900000</v>
      </c>
      <c r="BE17" s="22"/>
    </row>
    <row r="18" spans="4:57" s="6" customFormat="1" x14ac:dyDescent="0.25">
      <c r="D18" s="37"/>
      <c r="E18" s="37">
        <v>2610</v>
      </c>
      <c r="F18" s="39" t="s">
        <v>46</v>
      </c>
      <c r="G18" s="24"/>
      <c r="H18" s="24"/>
      <c r="I18" s="24"/>
      <c r="J18" s="24">
        <v>59783.32</v>
      </c>
      <c r="K18" s="24">
        <v>7447.72</v>
      </c>
      <c r="L18" s="24">
        <v>360000</v>
      </c>
      <c r="M18" s="24">
        <v>200000</v>
      </c>
      <c r="N18" s="24">
        <f>460000-7447.72-59783.32</f>
        <v>392768.96</v>
      </c>
      <c r="O18" s="24">
        <f>180000-100000</f>
        <v>80000</v>
      </c>
      <c r="P18" s="24"/>
      <c r="Q18" s="24"/>
      <c r="R18" s="24"/>
      <c r="S18" s="15">
        <f t="shared" si="27"/>
        <v>1100000</v>
      </c>
      <c r="T18" s="16">
        <f t="shared" si="1"/>
        <v>0</v>
      </c>
      <c r="U18" s="17"/>
      <c r="V18" s="18">
        <f t="shared" si="2"/>
        <v>0</v>
      </c>
      <c r="W18" s="16">
        <f t="shared" si="3"/>
        <v>0</v>
      </c>
      <c r="X18" s="17"/>
      <c r="Y18" s="18">
        <f t="shared" si="4"/>
        <v>0</v>
      </c>
      <c r="Z18" s="16">
        <f t="shared" si="5"/>
        <v>0</v>
      </c>
      <c r="AA18" s="17"/>
      <c r="AB18" s="18">
        <f t="shared" si="6"/>
        <v>0</v>
      </c>
      <c r="AC18" s="16">
        <f t="shared" si="7"/>
        <v>59783.32</v>
      </c>
      <c r="AD18" s="17"/>
      <c r="AE18" s="18">
        <f t="shared" si="8"/>
        <v>59783.32</v>
      </c>
      <c r="AF18" s="16">
        <f t="shared" si="9"/>
        <v>67231.039999999994</v>
      </c>
      <c r="AG18" s="17">
        <v>7447.72</v>
      </c>
      <c r="AH18" s="18">
        <f t="shared" si="10"/>
        <v>59783.319999999992</v>
      </c>
      <c r="AI18" s="16">
        <f t="shared" si="11"/>
        <v>419783.32</v>
      </c>
      <c r="AJ18" s="17">
        <v>388168.59</v>
      </c>
      <c r="AK18" s="18">
        <f t="shared" si="12"/>
        <v>31614.729999999981</v>
      </c>
      <c r="AL18" s="16">
        <f t="shared" si="13"/>
        <v>231614.72999999998</v>
      </c>
      <c r="AM18" s="17">
        <f>119845.38+59883.12</f>
        <v>179728.5</v>
      </c>
      <c r="AN18" s="18">
        <f t="shared" si="14"/>
        <v>51886.229999999981</v>
      </c>
      <c r="AO18" s="16">
        <f t="shared" si="15"/>
        <v>444655.19</v>
      </c>
      <c r="AP18" s="17">
        <f>102856.31+183112.66+4246.34</f>
        <v>290215.31</v>
      </c>
      <c r="AQ18" s="18">
        <f t="shared" si="16"/>
        <v>154439.88</v>
      </c>
      <c r="AR18" s="19">
        <f t="shared" si="17"/>
        <v>234439.88</v>
      </c>
      <c r="AS18" s="17">
        <v>41871.379999999997</v>
      </c>
      <c r="AT18" s="20">
        <f t="shared" si="18"/>
        <v>192568.5</v>
      </c>
      <c r="AU18" s="19">
        <f t="shared" si="19"/>
        <v>192568.5</v>
      </c>
      <c r="AV18" s="17">
        <f>90652.04+95109.12</f>
        <v>185761.15999999997</v>
      </c>
      <c r="AW18" s="20">
        <f t="shared" si="20"/>
        <v>6807.3400000000256</v>
      </c>
      <c r="AX18" s="19">
        <f t="shared" si="21"/>
        <v>6807.3400000000256</v>
      </c>
      <c r="AY18" s="17">
        <v>6807.34</v>
      </c>
      <c r="AZ18" s="20">
        <f t="shared" si="22"/>
        <v>2.5465851649641991E-11</v>
      </c>
      <c r="BA18" s="19">
        <f t="shared" si="23"/>
        <v>2.5465851649641991E-11</v>
      </c>
      <c r="BB18" s="17"/>
      <c r="BC18" s="20">
        <f t="shared" si="24"/>
        <v>2.5465851649641991E-11</v>
      </c>
      <c r="BD18" s="21">
        <f t="shared" si="29"/>
        <v>1100000</v>
      </c>
      <c r="BE18" s="22"/>
    </row>
    <row r="19" spans="4:57" s="6" customFormat="1" x14ac:dyDescent="0.25">
      <c r="D19" s="37"/>
      <c r="E19" s="37">
        <v>2610</v>
      </c>
      <c r="F19" s="39" t="s">
        <v>35</v>
      </c>
      <c r="G19" s="24"/>
      <c r="H19" s="24"/>
      <c r="I19" s="24">
        <f>20000-20000</f>
        <v>0</v>
      </c>
      <c r="J19" s="24"/>
      <c r="K19" s="24"/>
      <c r="L19" s="24">
        <f>40000-40000</f>
        <v>0</v>
      </c>
      <c r="M19" s="24"/>
      <c r="N19" s="24">
        <v>30000</v>
      </c>
      <c r="O19" s="24">
        <f>10000+25232</f>
        <v>35232</v>
      </c>
      <c r="P19" s="24">
        <v>20000</v>
      </c>
      <c r="Q19" s="24">
        <v>40000</v>
      </c>
      <c r="R19" s="24"/>
      <c r="S19" s="15">
        <f t="shared" si="27"/>
        <v>125232</v>
      </c>
      <c r="T19" s="16">
        <f t="shared" si="1"/>
        <v>0</v>
      </c>
      <c r="U19" s="17"/>
      <c r="V19" s="18">
        <f t="shared" si="2"/>
        <v>0</v>
      </c>
      <c r="W19" s="16">
        <f t="shared" si="3"/>
        <v>0</v>
      </c>
      <c r="X19" s="17"/>
      <c r="Y19" s="18">
        <f t="shared" si="4"/>
        <v>0</v>
      </c>
      <c r="Z19" s="16">
        <f t="shared" si="5"/>
        <v>0</v>
      </c>
      <c r="AA19" s="17"/>
      <c r="AB19" s="18">
        <f t="shared" si="6"/>
        <v>0</v>
      </c>
      <c r="AC19" s="16">
        <f t="shared" si="7"/>
        <v>0</v>
      </c>
      <c r="AD19" s="17"/>
      <c r="AE19" s="18">
        <f t="shared" si="8"/>
        <v>0</v>
      </c>
      <c r="AF19" s="16">
        <f t="shared" si="9"/>
        <v>0</v>
      </c>
      <c r="AG19" s="17"/>
      <c r="AH19" s="18">
        <f t="shared" si="10"/>
        <v>0</v>
      </c>
      <c r="AI19" s="16">
        <f t="shared" si="11"/>
        <v>0</v>
      </c>
      <c r="AJ19" s="17"/>
      <c r="AK19" s="18">
        <f t="shared" si="12"/>
        <v>0</v>
      </c>
      <c r="AL19" s="16">
        <f t="shared" si="13"/>
        <v>0</v>
      </c>
      <c r="AM19" s="17"/>
      <c r="AN19" s="18">
        <f t="shared" si="14"/>
        <v>0</v>
      </c>
      <c r="AO19" s="16">
        <f t="shared" si="15"/>
        <v>30000</v>
      </c>
      <c r="AP19" s="17"/>
      <c r="AQ19" s="18">
        <f t="shared" si="16"/>
        <v>30000</v>
      </c>
      <c r="AR19" s="19">
        <f t="shared" si="17"/>
        <v>65232</v>
      </c>
      <c r="AS19" s="17"/>
      <c r="AT19" s="20">
        <f t="shared" si="18"/>
        <v>65232</v>
      </c>
      <c r="AU19" s="19">
        <f t="shared" si="19"/>
        <v>85232</v>
      </c>
      <c r="AV19" s="17"/>
      <c r="AW19" s="20">
        <f t="shared" si="20"/>
        <v>85232</v>
      </c>
      <c r="AX19" s="19">
        <f t="shared" si="21"/>
        <v>125232</v>
      </c>
      <c r="AY19" s="17">
        <v>49543.67</v>
      </c>
      <c r="AZ19" s="20">
        <f t="shared" si="22"/>
        <v>75688.33</v>
      </c>
      <c r="BA19" s="19">
        <f t="shared" si="23"/>
        <v>75688.33</v>
      </c>
      <c r="BB19" s="17">
        <f>19114.4+56573.93</f>
        <v>75688.33</v>
      </c>
      <c r="BC19" s="20">
        <f t="shared" si="24"/>
        <v>0</v>
      </c>
      <c r="BD19" s="21">
        <f t="shared" si="29"/>
        <v>125232</v>
      </c>
      <c r="BE19" s="22"/>
    </row>
    <row r="20" spans="4:57" s="6" customFormat="1" x14ac:dyDescent="0.25">
      <c r="D20" s="37"/>
      <c r="E20" s="37">
        <v>2610</v>
      </c>
      <c r="F20" s="39" t="s">
        <v>47</v>
      </c>
      <c r="G20" s="24">
        <f>40000-40000</f>
        <v>0</v>
      </c>
      <c r="H20" s="24">
        <f>40000+40000-80000</f>
        <v>0</v>
      </c>
      <c r="I20" s="24">
        <f>40000-6035-24837</f>
        <v>9128</v>
      </c>
      <c r="J20" s="24">
        <f>30000-30000</f>
        <v>0</v>
      </c>
      <c r="K20" s="24">
        <v>30000</v>
      </c>
      <c r="L20" s="24">
        <v>20000</v>
      </c>
      <c r="M20" s="24"/>
      <c r="N20" s="24">
        <f>40000+86035</f>
        <v>126035</v>
      </c>
      <c r="O20" s="24">
        <f>40000+54837-80000</f>
        <v>14837</v>
      </c>
      <c r="P20" s="24">
        <f>40000-40000</f>
        <v>0</v>
      </c>
      <c r="Q20" s="24">
        <f>40000-40000</f>
        <v>0</v>
      </c>
      <c r="R20" s="24">
        <f>40000-40000</f>
        <v>0</v>
      </c>
      <c r="S20" s="15">
        <f t="shared" si="27"/>
        <v>200000</v>
      </c>
      <c r="T20" s="16">
        <f t="shared" si="1"/>
        <v>0</v>
      </c>
      <c r="U20" s="17"/>
      <c r="V20" s="18">
        <f t="shared" si="2"/>
        <v>0</v>
      </c>
      <c r="W20" s="16">
        <f t="shared" si="3"/>
        <v>0</v>
      </c>
      <c r="X20" s="17"/>
      <c r="Y20" s="18">
        <f t="shared" si="4"/>
        <v>0</v>
      </c>
      <c r="Z20" s="16">
        <f t="shared" si="5"/>
        <v>9128</v>
      </c>
      <c r="AA20" s="17"/>
      <c r="AB20" s="18">
        <f t="shared" si="6"/>
        <v>9128</v>
      </c>
      <c r="AC20" s="16">
        <f t="shared" si="7"/>
        <v>9128</v>
      </c>
      <c r="AD20" s="17">
        <v>9127.15</v>
      </c>
      <c r="AE20" s="18">
        <f t="shared" si="8"/>
        <v>0.8500000000003638</v>
      </c>
      <c r="AF20" s="16">
        <f t="shared" si="9"/>
        <v>30000.85</v>
      </c>
      <c r="AG20" s="17">
        <v>20139.29</v>
      </c>
      <c r="AH20" s="18">
        <f t="shared" si="10"/>
        <v>9861.5599999999977</v>
      </c>
      <c r="AI20" s="16">
        <f t="shared" si="11"/>
        <v>29861.559999999998</v>
      </c>
      <c r="AJ20" s="17"/>
      <c r="AK20" s="18">
        <f t="shared" si="12"/>
        <v>29861.559999999998</v>
      </c>
      <c r="AL20" s="16">
        <f t="shared" si="13"/>
        <v>29861.559999999998</v>
      </c>
      <c r="AM20" s="17"/>
      <c r="AN20" s="18">
        <f t="shared" si="14"/>
        <v>29861.559999999998</v>
      </c>
      <c r="AO20" s="16">
        <f t="shared" si="15"/>
        <v>155896.56</v>
      </c>
      <c r="AP20" s="17"/>
      <c r="AQ20" s="18">
        <f t="shared" si="16"/>
        <v>155896.56</v>
      </c>
      <c r="AR20" s="19">
        <f t="shared" si="17"/>
        <v>170733.56</v>
      </c>
      <c r="AS20" s="17">
        <v>105509.47</v>
      </c>
      <c r="AT20" s="20">
        <f t="shared" si="18"/>
        <v>65224.09</v>
      </c>
      <c r="AU20" s="19">
        <f t="shared" si="19"/>
        <v>65224.09</v>
      </c>
      <c r="AV20" s="17">
        <v>10930.6</v>
      </c>
      <c r="AW20" s="20">
        <f t="shared" si="20"/>
        <v>54293.49</v>
      </c>
      <c r="AX20" s="19">
        <f t="shared" si="21"/>
        <v>54293.49</v>
      </c>
      <c r="AY20" s="17">
        <v>18846.52</v>
      </c>
      <c r="AZ20" s="20">
        <f t="shared" si="22"/>
        <v>35446.97</v>
      </c>
      <c r="BA20" s="19">
        <f t="shared" si="23"/>
        <v>35446.97</v>
      </c>
      <c r="BB20" s="17">
        <f>13193.36+22253.61</f>
        <v>35446.97</v>
      </c>
      <c r="BC20" s="20">
        <f t="shared" si="24"/>
        <v>0</v>
      </c>
      <c r="BD20" s="21">
        <f t="shared" si="29"/>
        <v>200000</v>
      </c>
      <c r="BE20" s="22"/>
    </row>
    <row r="21" spans="4:57" s="6" customFormat="1" x14ac:dyDescent="0.25">
      <c r="D21" s="37"/>
      <c r="E21" s="37">
        <v>2610</v>
      </c>
      <c r="F21" s="39" t="s">
        <v>59</v>
      </c>
      <c r="G21" s="24"/>
      <c r="H21" s="24"/>
      <c r="I21" s="24"/>
      <c r="J21" s="24">
        <f>40000-40000</f>
        <v>0</v>
      </c>
      <c r="K21" s="24">
        <f>40000+40000</f>
        <v>80000</v>
      </c>
      <c r="L21" s="24">
        <f>30000+13263.34</f>
        <v>43263.34</v>
      </c>
      <c r="M21" s="24"/>
      <c r="N21" s="24">
        <f>20000-13263.34+30000-746.44</f>
        <v>35990.22</v>
      </c>
      <c r="O21" s="24"/>
      <c r="P21" s="24"/>
      <c r="Q21" s="24"/>
      <c r="R21" s="24"/>
      <c r="S21" s="15">
        <f t="shared" si="27"/>
        <v>159253.56</v>
      </c>
      <c r="T21" s="16">
        <f t="shared" si="1"/>
        <v>0</v>
      </c>
      <c r="U21" s="17"/>
      <c r="V21" s="18">
        <f t="shared" si="2"/>
        <v>0</v>
      </c>
      <c r="W21" s="16">
        <f t="shared" si="3"/>
        <v>0</v>
      </c>
      <c r="X21" s="17"/>
      <c r="Y21" s="18">
        <f t="shared" si="4"/>
        <v>0</v>
      </c>
      <c r="Z21" s="16">
        <f t="shared" si="5"/>
        <v>0</v>
      </c>
      <c r="AA21" s="17"/>
      <c r="AB21" s="18">
        <f t="shared" si="6"/>
        <v>0</v>
      </c>
      <c r="AC21" s="16">
        <f t="shared" si="7"/>
        <v>0</v>
      </c>
      <c r="AD21" s="17"/>
      <c r="AE21" s="18">
        <f t="shared" si="8"/>
        <v>0</v>
      </c>
      <c r="AF21" s="16">
        <f t="shared" si="9"/>
        <v>80000</v>
      </c>
      <c r="AG21" s="17"/>
      <c r="AH21" s="18">
        <f t="shared" si="10"/>
        <v>80000</v>
      </c>
      <c r="AI21" s="16">
        <f t="shared" si="11"/>
        <v>123263.34</v>
      </c>
      <c r="AJ21" s="17">
        <v>113263.34</v>
      </c>
      <c r="AK21" s="18">
        <f t="shared" si="12"/>
        <v>10000</v>
      </c>
      <c r="AL21" s="16">
        <f t="shared" si="13"/>
        <v>10000</v>
      </c>
      <c r="AM21" s="17"/>
      <c r="AN21" s="18">
        <f t="shared" si="14"/>
        <v>10000</v>
      </c>
      <c r="AO21" s="16">
        <f t="shared" si="15"/>
        <v>45990.22</v>
      </c>
      <c r="AP21" s="17">
        <v>12289.6</v>
      </c>
      <c r="AQ21" s="18">
        <f t="shared" si="16"/>
        <v>33700.620000000003</v>
      </c>
      <c r="AR21" s="19">
        <f t="shared" si="17"/>
        <v>33700.620000000003</v>
      </c>
      <c r="AS21" s="17">
        <v>29423.75</v>
      </c>
      <c r="AT21" s="20">
        <f t="shared" si="18"/>
        <v>4276.8700000000026</v>
      </c>
      <c r="AU21" s="19">
        <f t="shared" si="19"/>
        <v>4276.8700000000026</v>
      </c>
      <c r="AV21" s="17">
        <v>4276.87</v>
      </c>
      <c r="AW21" s="20">
        <f t="shared" si="20"/>
        <v>0</v>
      </c>
      <c r="AX21" s="19">
        <f t="shared" si="21"/>
        <v>0</v>
      </c>
      <c r="AY21" s="17"/>
      <c r="AZ21" s="20">
        <f t="shared" si="22"/>
        <v>0</v>
      </c>
      <c r="BA21" s="19">
        <f t="shared" si="23"/>
        <v>0</v>
      </c>
      <c r="BB21" s="17"/>
      <c r="BC21" s="20">
        <f t="shared" si="24"/>
        <v>0</v>
      </c>
      <c r="BD21" s="21">
        <f t="shared" si="29"/>
        <v>159253.56</v>
      </c>
      <c r="BE21" s="22"/>
    </row>
    <row r="22" spans="4:57" s="6" customFormat="1" x14ac:dyDescent="0.25">
      <c r="D22" s="37"/>
      <c r="E22" s="37">
        <v>2610</v>
      </c>
      <c r="F22" s="39" t="s">
        <v>49</v>
      </c>
      <c r="G22" s="24"/>
      <c r="H22" s="24">
        <v>27914.42</v>
      </c>
      <c r="I22" s="24">
        <v>60000</v>
      </c>
      <c r="J22" s="24">
        <v>20000</v>
      </c>
      <c r="K22" s="24">
        <v>60000</v>
      </c>
      <c r="L22" s="24">
        <f>160000-27914.42-100000</f>
        <v>32085.580000000016</v>
      </c>
      <c r="M22" s="24">
        <f>40000-40000</f>
        <v>0</v>
      </c>
      <c r="N22" s="24">
        <f>120000-120000</f>
        <v>0</v>
      </c>
      <c r="O22" s="24">
        <f>160000-160000</f>
        <v>0</v>
      </c>
      <c r="P22" s="24">
        <f>80000-80000</f>
        <v>0</v>
      </c>
      <c r="Q22" s="24"/>
      <c r="R22" s="24"/>
      <c r="S22" s="15">
        <f t="shared" si="27"/>
        <v>200000</v>
      </c>
      <c r="T22" s="16">
        <f t="shared" si="1"/>
        <v>0</v>
      </c>
      <c r="U22" s="17"/>
      <c r="V22" s="18">
        <f t="shared" si="2"/>
        <v>0</v>
      </c>
      <c r="W22" s="16">
        <f t="shared" si="3"/>
        <v>27914.42</v>
      </c>
      <c r="X22" s="17"/>
      <c r="Y22" s="18">
        <f t="shared" si="4"/>
        <v>27914.42</v>
      </c>
      <c r="Z22" s="16">
        <f t="shared" si="5"/>
        <v>87914.42</v>
      </c>
      <c r="AA22" s="17">
        <v>87914.42</v>
      </c>
      <c r="AB22" s="18">
        <f t="shared" si="6"/>
        <v>0</v>
      </c>
      <c r="AC22" s="16">
        <f t="shared" si="7"/>
        <v>20000</v>
      </c>
      <c r="AD22" s="17">
        <v>11879.32</v>
      </c>
      <c r="AE22" s="18">
        <f t="shared" si="8"/>
        <v>8120.68</v>
      </c>
      <c r="AF22" s="16">
        <f t="shared" si="9"/>
        <v>68120.679999999993</v>
      </c>
      <c r="AG22" s="17"/>
      <c r="AH22" s="18">
        <f t="shared" si="10"/>
        <v>68120.679999999993</v>
      </c>
      <c r="AI22" s="16">
        <f t="shared" si="11"/>
        <v>100206.26000000001</v>
      </c>
      <c r="AJ22" s="17"/>
      <c r="AK22" s="18">
        <f t="shared" si="12"/>
        <v>100206.26000000001</v>
      </c>
      <c r="AL22" s="16">
        <f t="shared" si="13"/>
        <v>100206.26000000001</v>
      </c>
      <c r="AM22" s="17">
        <f>14705.8+28793.2</f>
        <v>43499</v>
      </c>
      <c r="AN22" s="18">
        <f t="shared" si="14"/>
        <v>56707.260000000009</v>
      </c>
      <c r="AO22" s="16">
        <f t="shared" si="15"/>
        <v>56707.260000000009</v>
      </c>
      <c r="AP22" s="17">
        <v>10300.4</v>
      </c>
      <c r="AQ22" s="18">
        <f t="shared" si="16"/>
        <v>46406.860000000008</v>
      </c>
      <c r="AR22" s="19">
        <f t="shared" si="17"/>
        <v>46406.860000000008</v>
      </c>
      <c r="AS22" s="17"/>
      <c r="AT22" s="20">
        <f t="shared" si="18"/>
        <v>46406.860000000008</v>
      </c>
      <c r="AU22" s="19">
        <f t="shared" si="19"/>
        <v>46406.860000000008</v>
      </c>
      <c r="AV22" s="17">
        <v>30763.54</v>
      </c>
      <c r="AW22" s="20">
        <f t="shared" si="20"/>
        <v>15643.320000000007</v>
      </c>
      <c r="AX22" s="19">
        <f t="shared" si="21"/>
        <v>15643.320000000007</v>
      </c>
      <c r="AY22" s="17">
        <f>9742.18+5901.14</f>
        <v>15643.32</v>
      </c>
      <c r="AZ22" s="20">
        <f t="shared" si="22"/>
        <v>0</v>
      </c>
      <c r="BA22" s="19">
        <f t="shared" si="23"/>
        <v>0</v>
      </c>
      <c r="BB22" s="17"/>
      <c r="BC22" s="20">
        <f t="shared" si="24"/>
        <v>0</v>
      </c>
      <c r="BD22" s="21">
        <f t="shared" si="29"/>
        <v>200000</v>
      </c>
      <c r="BE22" s="22"/>
    </row>
    <row r="23" spans="4:57" s="6" customFormat="1" x14ac:dyDescent="0.25">
      <c r="D23" s="37"/>
      <c r="E23" s="37">
        <v>2610</v>
      </c>
      <c r="F23" s="39" t="s">
        <v>60</v>
      </c>
      <c r="G23" s="24"/>
      <c r="H23" s="24">
        <f>14322.73+5052.43</f>
        <v>19375.16</v>
      </c>
      <c r="I23" s="24"/>
      <c r="J23" s="24">
        <f>60000-5052.43-29000-25947.57</f>
        <v>0</v>
      </c>
      <c r="K23" s="24">
        <f>100000-14322.73-57273.6</f>
        <v>28403.670000000006</v>
      </c>
      <c r="L23" s="24">
        <f>400000+29000-277068.65</f>
        <v>151931.34999999998</v>
      </c>
      <c r="M23" s="24">
        <v>80000</v>
      </c>
      <c r="N23" s="24">
        <f>440000+2300.65+83221.17-30000</f>
        <v>495521.82000000007</v>
      </c>
      <c r="O23" s="24">
        <f>2100000-2000000+74768</f>
        <v>174768</v>
      </c>
      <c r="P23" s="24">
        <f>90000-1.91</f>
        <v>89998.09</v>
      </c>
      <c r="Q23" s="24"/>
      <c r="R23" s="24"/>
      <c r="S23" s="15">
        <f t="shared" si="27"/>
        <v>1039998.09</v>
      </c>
      <c r="T23" s="16">
        <f t="shared" si="1"/>
        <v>0</v>
      </c>
      <c r="U23" s="17"/>
      <c r="V23" s="18">
        <f t="shared" si="2"/>
        <v>0</v>
      </c>
      <c r="W23" s="16">
        <f t="shared" si="3"/>
        <v>19375.16</v>
      </c>
      <c r="X23" s="17"/>
      <c r="Y23" s="18">
        <f t="shared" si="4"/>
        <v>19375.16</v>
      </c>
      <c r="Z23" s="16">
        <f t="shared" si="5"/>
        <v>19375.16</v>
      </c>
      <c r="AA23" s="17">
        <f>14322.73+5052.43</f>
        <v>19375.16</v>
      </c>
      <c r="AB23" s="18">
        <f t="shared" si="6"/>
        <v>0</v>
      </c>
      <c r="AC23" s="16">
        <f t="shared" si="7"/>
        <v>0</v>
      </c>
      <c r="AD23" s="17"/>
      <c r="AE23" s="18">
        <f t="shared" si="8"/>
        <v>0</v>
      </c>
      <c r="AF23" s="16">
        <f t="shared" si="9"/>
        <v>28403.670000000006</v>
      </c>
      <c r="AG23" s="17">
        <v>17144.54</v>
      </c>
      <c r="AH23" s="18">
        <f t="shared" si="10"/>
        <v>11259.130000000005</v>
      </c>
      <c r="AI23" s="16">
        <f t="shared" si="11"/>
        <v>163190.47999999998</v>
      </c>
      <c r="AJ23" s="17"/>
      <c r="AK23" s="18">
        <f t="shared" si="12"/>
        <v>163190.47999999998</v>
      </c>
      <c r="AL23" s="16">
        <f t="shared" si="13"/>
        <v>243190.47999999998</v>
      </c>
      <c r="AM23" s="17">
        <v>62193.04</v>
      </c>
      <c r="AN23" s="18">
        <f t="shared" si="14"/>
        <v>180997.43999999997</v>
      </c>
      <c r="AO23" s="16">
        <f t="shared" si="15"/>
        <v>676519.26</v>
      </c>
      <c r="AP23" s="17">
        <v>277672.24</v>
      </c>
      <c r="AQ23" s="18">
        <f t="shared" si="16"/>
        <v>398847.02</v>
      </c>
      <c r="AR23" s="19">
        <f t="shared" si="17"/>
        <v>573615.02</v>
      </c>
      <c r="AS23" s="17">
        <v>290188.2</v>
      </c>
      <c r="AT23" s="20">
        <f t="shared" si="18"/>
        <v>283426.82</v>
      </c>
      <c r="AU23" s="19">
        <f t="shared" si="19"/>
        <v>373424.91000000003</v>
      </c>
      <c r="AV23" s="17">
        <v>121890.78</v>
      </c>
      <c r="AW23" s="20">
        <f t="shared" si="20"/>
        <v>251534.13000000003</v>
      </c>
      <c r="AX23" s="19">
        <f t="shared" si="21"/>
        <v>251534.13000000003</v>
      </c>
      <c r="AY23" s="17">
        <f>156866.65+94667.48</f>
        <v>251534.13</v>
      </c>
      <c r="AZ23" s="20">
        <f t="shared" si="22"/>
        <v>0</v>
      </c>
      <c r="BA23" s="19">
        <f t="shared" si="23"/>
        <v>0</v>
      </c>
      <c r="BB23" s="17"/>
      <c r="BC23" s="20">
        <f t="shared" si="24"/>
        <v>0</v>
      </c>
      <c r="BD23" s="21">
        <f t="shared" si="29"/>
        <v>1039998.09</v>
      </c>
      <c r="BE23" s="22"/>
    </row>
    <row r="24" spans="4:57" s="6" customFormat="1" x14ac:dyDescent="0.25">
      <c r="D24" s="37"/>
      <c r="E24" s="37">
        <v>2610</v>
      </c>
      <c r="F24" s="39" t="s">
        <v>51</v>
      </c>
      <c r="G24" s="24"/>
      <c r="H24" s="24"/>
      <c r="I24" s="24"/>
      <c r="J24" s="24"/>
      <c r="K24" s="24">
        <f>20000+12488.09</f>
        <v>32488.09</v>
      </c>
      <c r="L24" s="24">
        <f>40000+27511.9</f>
        <v>67511.899999999994</v>
      </c>
      <c r="M24" s="24"/>
      <c r="N24" s="24">
        <f>40000-12488.09-27511.9-0.01</f>
        <v>-1.6007108832871708E-12</v>
      </c>
      <c r="O24" s="24"/>
      <c r="P24" s="24"/>
      <c r="Q24" s="24"/>
      <c r="R24" s="24"/>
      <c r="S24" s="15">
        <f t="shared" si="27"/>
        <v>99999.989999999991</v>
      </c>
      <c r="T24" s="16">
        <f t="shared" si="1"/>
        <v>0</v>
      </c>
      <c r="U24" s="17"/>
      <c r="V24" s="18">
        <f t="shared" si="2"/>
        <v>0</v>
      </c>
      <c r="W24" s="16">
        <f t="shared" si="3"/>
        <v>0</v>
      </c>
      <c r="X24" s="17"/>
      <c r="Y24" s="18">
        <f t="shared" si="4"/>
        <v>0</v>
      </c>
      <c r="Z24" s="16">
        <f t="shared" si="5"/>
        <v>0</v>
      </c>
      <c r="AA24" s="17"/>
      <c r="AB24" s="18">
        <f t="shared" si="6"/>
        <v>0</v>
      </c>
      <c r="AC24" s="16">
        <f t="shared" si="7"/>
        <v>0</v>
      </c>
      <c r="AD24" s="17"/>
      <c r="AE24" s="18">
        <f t="shared" si="8"/>
        <v>0</v>
      </c>
      <c r="AF24" s="16">
        <f t="shared" si="9"/>
        <v>32488.09</v>
      </c>
      <c r="AG24" s="17">
        <v>32488.09</v>
      </c>
      <c r="AH24" s="18">
        <f t="shared" si="10"/>
        <v>0</v>
      </c>
      <c r="AI24" s="16">
        <f t="shared" si="11"/>
        <v>67511.899999999994</v>
      </c>
      <c r="AJ24" s="17">
        <v>67511.899999999994</v>
      </c>
      <c r="AK24" s="18">
        <f t="shared" si="12"/>
        <v>0</v>
      </c>
      <c r="AL24" s="16">
        <f t="shared" si="13"/>
        <v>0</v>
      </c>
      <c r="AM24" s="17"/>
      <c r="AN24" s="18">
        <f t="shared" si="14"/>
        <v>0</v>
      </c>
      <c r="AO24" s="16">
        <f t="shared" si="15"/>
        <v>-1.6007108832871708E-12</v>
      </c>
      <c r="AP24" s="17"/>
      <c r="AQ24" s="18">
        <f t="shared" si="16"/>
        <v>-1.6007108832871708E-12</v>
      </c>
      <c r="AR24" s="19">
        <f t="shared" si="17"/>
        <v>-1.6007108832871708E-12</v>
      </c>
      <c r="AS24" s="17"/>
      <c r="AT24" s="20">
        <f t="shared" si="18"/>
        <v>-1.6007108832871708E-12</v>
      </c>
      <c r="AU24" s="19">
        <f t="shared" si="19"/>
        <v>-1.6007108832871708E-12</v>
      </c>
      <c r="AV24" s="17"/>
      <c r="AW24" s="20">
        <f t="shared" si="20"/>
        <v>-1.6007108832871708E-12</v>
      </c>
      <c r="AX24" s="19">
        <f t="shared" si="21"/>
        <v>-1.6007108832871708E-12</v>
      </c>
      <c r="AY24" s="17"/>
      <c r="AZ24" s="20">
        <f t="shared" si="22"/>
        <v>-1.6007108832871708E-12</v>
      </c>
      <c r="BA24" s="19">
        <f t="shared" si="23"/>
        <v>-1.6007108832871708E-12</v>
      </c>
      <c r="BB24" s="17"/>
      <c r="BC24" s="20">
        <f t="shared" si="24"/>
        <v>-1.6007108832871708E-12</v>
      </c>
      <c r="BD24" s="21">
        <f t="shared" si="29"/>
        <v>99999.989999999991</v>
      </c>
      <c r="BE24" s="22"/>
    </row>
    <row r="25" spans="4:57" s="6" customFormat="1" x14ac:dyDescent="0.25">
      <c r="D25" s="37"/>
      <c r="E25" s="37">
        <v>2610</v>
      </c>
      <c r="F25" s="39" t="s">
        <v>52</v>
      </c>
      <c r="G25" s="24">
        <f>60000-60000</f>
        <v>0</v>
      </c>
      <c r="H25" s="24">
        <f>40000+60000-74257.1-14322.73</f>
        <v>11420.169999999995</v>
      </c>
      <c r="I25" s="24">
        <f>60000-60000</f>
        <v>0</v>
      </c>
      <c r="J25" s="24">
        <f>60000-20000+34000-59783.32</f>
        <v>14216.68</v>
      </c>
      <c r="K25" s="24">
        <f>30000+15359.1+14322.73+50000</f>
        <v>109681.83</v>
      </c>
      <c r="L25" s="24">
        <f>90000+58898-25191.41-40775.24-82931.35+38521.66</f>
        <v>38521.660000000003</v>
      </c>
      <c r="M25" s="24">
        <f>60000+159232.21+70593.38</f>
        <v>289825.58999999997</v>
      </c>
      <c r="N25" s="24">
        <f>60000+40775.24+59783.32+82931.35-109115.04</f>
        <v>134374.87</v>
      </c>
      <c r="O25" s="24">
        <f>120000-8808.59</f>
        <v>111191.41</v>
      </c>
      <c r="P25" s="24">
        <f>100000+30000-99232.21</f>
        <v>30767.789999999994</v>
      </c>
      <c r="Q25" s="24">
        <v>60000</v>
      </c>
      <c r="R25" s="24">
        <f>60000-60000</f>
        <v>0</v>
      </c>
      <c r="S25" s="15">
        <f t="shared" si="27"/>
        <v>800000</v>
      </c>
      <c r="T25" s="16">
        <f t="shared" si="1"/>
        <v>0</v>
      </c>
      <c r="U25" s="17"/>
      <c r="V25" s="18">
        <f t="shared" si="2"/>
        <v>0</v>
      </c>
      <c r="W25" s="16">
        <f t="shared" si="3"/>
        <v>11420.169999999995</v>
      </c>
      <c r="X25" s="17"/>
      <c r="Y25" s="18">
        <f t="shared" si="4"/>
        <v>11420.169999999995</v>
      </c>
      <c r="Z25" s="16">
        <f t="shared" si="5"/>
        <v>11420.169999999995</v>
      </c>
      <c r="AA25" s="17"/>
      <c r="AB25" s="18">
        <f t="shared" si="6"/>
        <v>11420.169999999995</v>
      </c>
      <c r="AC25" s="16">
        <f t="shared" si="7"/>
        <v>25636.849999999995</v>
      </c>
      <c r="AD25" s="17">
        <f>1105.73+4856.42</f>
        <v>5962.15</v>
      </c>
      <c r="AE25" s="18">
        <f t="shared" si="8"/>
        <v>19674.699999999997</v>
      </c>
      <c r="AF25" s="16">
        <f t="shared" si="9"/>
        <v>129356.53</v>
      </c>
      <c r="AG25" s="17">
        <f>75169.09-75169.09</f>
        <v>0</v>
      </c>
      <c r="AH25" s="18">
        <f t="shared" si="10"/>
        <v>129356.53</v>
      </c>
      <c r="AI25" s="16">
        <f t="shared" si="11"/>
        <v>167878.19</v>
      </c>
      <c r="AJ25" s="17"/>
      <c r="AK25" s="18">
        <f t="shared" si="12"/>
        <v>167878.19</v>
      </c>
      <c r="AL25" s="16">
        <f t="shared" si="13"/>
        <v>457703.77999999997</v>
      </c>
      <c r="AM25" s="17">
        <f>348588.74+109115.04</f>
        <v>457703.77999999997</v>
      </c>
      <c r="AN25" s="18">
        <f t="shared" si="14"/>
        <v>0</v>
      </c>
      <c r="AO25" s="16">
        <f t="shared" si="15"/>
        <v>134374.87</v>
      </c>
      <c r="AP25" s="17">
        <v>94861.16</v>
      </c>
      <c r="AQ25" s="18">
        <f t="shared" si="16"/>
        <v>39513.709999999992</v>
      </c>
      <c r="AR25" s="19">
        <f t="shared" si="17"/>
        <v>150705.12</v>
      </c>
      <c r="AS25" s="17"/>
      <c r="AT25" s="20">
        <f t="shared" si="18"/>
        <v>150705.12</v>
      </c>
      <c r="AU25" s="19">
        <f t="shared" si="19"/>
        <v>181472.90999999997</v>
      </c>
      <c r="AV25" s="17">
        <v>71321.67</v>
      </c>
      <c r="AW25" s="20">
        <f t="shared" si="20"/>
        <v>110151.23999999998</v>
      </c>
      <c r="AX25" s="19">
        <f t="shared" si="21"/>
        <v>170151.24</v>
      </c>
      <c r="AY25" s="17">
        <f>46707.18+39483.47</f>
        <v>86190.65</v>
      </c>
      <c r="AZ25" s="20">
        <f t="shared" si="22"/>
        <v>83960.59</v>
      </c>
      <c r="BA25" s="19">
        <f t="shared" si="23"/>
        <v>83960.59</v>
      </c>
      <c r="BB25" s="17">
        <v>83960.59</v>
      </c>
      <c r="BC25" s="20">
        <f t="shared" si="24"/>
        <v>0</v>
      </c>
      <c r="BD25" s="21">
        <f>S25-BC25</f>
        <v>800000</v>
      </c>
      <c r="BE25" s="22"/>
    </row>
  </sheetData>
  <mergeCells count="31">
    <mergeCell ref="D1:D4"/>
    <mergeCell ref="E1:E4"/>
    <mergeCell ref="F1:F4"/>
    <mergeCell ref="G1:R2"/>
    <mergeCell ref="S1:S4"/>
    <mergeCell ref="P3:P4"/>
    <mergeCell ref="Q3:Q4"/>
    <mergeCell ref="R3:R4"/>
    <mergeCell ref="AL3:AN3"/>
    <mergeCell ref="BD1:BD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T1:AB2"/>
    <mergeCell ref="T3:V3"/>
    <mergeCell ref="W3:Y3"/>
    <mergeCell ref="Z3:AB3"/>
    <mergeCell ref="AC3:AE3"/>
    <mergeCell ref="AF3:AH3"/>
    <mergeCell ref="AI3:AK3"/>
    <mergeCell ref="AO3:AQ3"/>
    <mergeCell ref="AR3:AT3"/>
    <mergeCell ref="AU3:AW3"/>
    <mergeCell ref="AX3:AZ3"/>
    <mergeCell ref="BA3:B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2025</vt:lpstr>
      <vt:lpstr>2024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2025-11-11T09:15:45Z</dcterms:modified>
</cp:coreProperties>
</file>