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270" yWindow="15" windowWidth="26715" windowHeight="11700" firstSheet="1" activeTab="1"/>
  </bookViews>
  <sheets>
    <sheet name="вар. 1. cнег 0,1749" sheetId="5" state="hidden" r:id="rId1"/>
    <sheet name="01.01.2026" sheetId="6" r:id="rId2"/>
    <sheet name="вар.2" sheetId="4" state="hidden" r:id="rId3"/>
    <sheet name="вар.1" sheetId="1" state="hidden" r:id="rId4"/>
  </sheets>
  <definedNames>
    <definedName name="_xlnm.Print_Area" localSheetId="1">'01.01.2026'!$A$1:$M$33</definedName>
    <definedName name="_xlnm.Print_Area" localSheetId="0">'вар. 1. cнег 0,1749'!$A$1:$J$39</definedName>
    <definedName name="_xlnm.Print_Area" localSheetId="3">вар.1!$A$1:$D$19</definedName>
    <definedName name="_xlnm.Print_Area" localSheetId="2">вар.2!$A$1:$D$20</definedName>
  </definedNames>
  <calcPr calcId="162913"/>
</workbook>
</file>

<file path=xl/calcChain.xml><?xml version="1.0" encoding="utf-8"?>
<calcChain xmlns="http://schemas.openxmlformats.org/spreadsheetml/2006/main">
  <c r="I14" i="6" l="1"/>
  <c r="F24" i="6" l="1"/>
  <c r="F23" i="6"/>
  <c r="E15" i="6"/>
  <c r="E14" i="6"/>
  <c r="F22" i="6" l="1"/>
  <c r="I23" i="6"/>
  <c r="I24" i="6"/>
  <c r="I21" i="6"/>
  <c r="I25" i="6"/>
  <c r="I20" i="6"/>
  <c r="I19" i="6"/>
  <c r="I17" i="6"/>
  <c r="I10" i="6"/>
  <c r="E16" i="6"/>
  <c r="D26" i="6"/>
  <c r="D27" i="6" s="1"/>
  <c r="I22" i="6" l="1"/>
  <c r="G11" i="6"/>
  <c r="G13" i="6"/>
  <c r="G16" i="6"/>
  <c r="G25" i="6"/>
  <c r="E9" i="6" l="1"/>
  <c r="I9" i="6"/>
  <c r="E24" i="6"/>
  <c r="G24" i="6" s="1"/>
  <c r="E23" i="6"/>
  <c r="G23" i="6" s="1"/>
  <c r="E18" i="6"/>
  <c r="E19" i="6"/>
  <c r="F19" i="6" s="1"/>
  <c r="G19" i="6" s="1"/>
  <c r="E20" i="6"/>
  <c r="F20" i="6" s="1"/>
  <c r="G20" i="6" s="1"/>
  <c r="E21" i="6"/>
  <c r="F21" i="6" s="1"/>
  <c r="G21" i="6" s="1"/>
  <c r="E17" i="6"/>
  <c r="F14" i="6"/>
  <c r="G14" i="6" s="1"/>
  <c r="E10" i="6"/>
  <c r="E11" i="6"/>
  <c r="E12" i="6"/>
  <c r="F12" i="6" s="1"/>
  <c r="G12" i="6" s="1"/>
  <c r="E13" i="6"/>
  <c r="J10" i="6"/>
  <c r="J11" i="6"/>
  <c r="J12" i="6"/>
  <c r="J13" i="6"/>
  <c r="J14" i="6"/>
  <c r="J15" i="6"/>
  <c r="J16" i="6"/>
  <c r="J19" i="6"/>
  <c r="J20" i="6"/>
  <c r="J21" i="6"/>
  <c r="J22" i="6"/>
  <c r="J23" i="6"/>
  <c r="J24" i="6"/>
  <c r="J25" i="6"/>
  <c r="I18" i="6"/>
  <c r="J18" i="6" s="1"/>
  <c r="J17" i="6"/>
  <c r="E25" i="6"/>
  <c r="J9" i="6" l="1"/>
  <c r="K9" i="6" s="1"/>
  <c r="I26" i="6"/>
  <c r="K18" i="6"/>
  <c r="K17" i="6"/>
  <c r="L24" i="6"/>
  <c r="K24" i="6"/>
  <c r="M24" i="6" s="1"/>
  <c r="K22" i="6"/>
  <c r="L20" i="6"/>
  <c r="K20" i="6"/>
  <c r="L16" i="6"/>
  <c r="K16" i="6"/>
  <c r="M16" i="6" s="1"/>
  <c r="L14" i="6"/>
  <c r="K14" i="6"/>
  <c r="M14" i="6" s="1"/>
  <c r="L12" i="6"/>
  <c r="K12" i="6"/>
  <c r="M12" i="6" s="1"/>
  <c r="K10" i="6"/>
  <c r="L25" i="6"/>
  <c r="K25" i="6"/>
  <c r="M25" i="6" s="1"/>
  <c r="L23" i="6"/>
  <c r="K23" i="6"/>
  <c r="L21" i="6"/>
  <c r="K21" i="6"/>
  <c r="L19" i="6"/>
  <c r="K19" i="6"/>
  <c r="M19" i="6" s="1"/>
  <c r="K15" i="6"/>
  <c r="L13" i="6"/>
  <c r="K13" i="6"/>
  <c r="M13" i="6" s="1"/>
  <c r="L11" i="6"/>
  <c r="K11" i="6"/>
  <c r="M11" i="6" s="1"/>
  <c r="F15" i="6"/>
  <c r="G15" i="6" s="1"/>
  <c r="F10" i="6"/>
  <c r="G10" i="6" s="1"/>
  <c r="F18" i="6"/>
  <c r="G18" i="6" s="1"/>
  <c r="M21" i="6"/>
  <c r="M23" i="6"/>
  <c r="F9" i="6"/>
  <c r="G9" i="6" s="1"/>
  <c r="M20" i="6"/>
  <c r="F17" i="6"/>
  <c r="G17" i="6" s="1"/>
  <c r="E22" i="6"/>
  <c r="E26" i="6" s="1"/>
  <c r="C23" i="5"/>
  <c r="L10" i="6" l="1"/>
  <c r="L9" i="6"/>
  <c r="L17" i="6"/>
  <c r="L15" i="6"/>
  <c r="L18" i="6"/>
  <c r="I27" i="6"/>
  <c r="J27" i="6" s="1"/>
  <c r="J26" i="6"/>
  <c r="K26" i="6"/>
  <c r="K27" i="6" s="1"/>
  <c r="M15" i="6"/>
  <c r="M10" i="6"/>
  <c r="M18" i="6"/>
  <c r="M17" i="6"/>
  <c r="M9" i="6"/>
  <c r="E27" i="6"/>
  <c r="G20" i="5"/>
  <c r="I20" i="5" s="1"/>
  <c r="G18" i="5"/>
  <c r="G17" i="5"/>
  <c r="I17" i="5" s="1"/>
  <c r="F16" i="5"/>
  <c r="G16" i="5" s="1"/>
  <c r="I16" i="5" s="1"/>
  <c r="G15" i="5"/>
  <c r="I15" i="5" s="1"/>
  <c r="G22" i="6" l="1"/>
  <c r="L22" i="6"/>
  <c r="F26" i="6"/>
  <c r="F27" i="6" s="1"/>
  <c r="L27" i="6" s="1"/>
  <c r="G14" i="5"/>
  <c r="I14" i="5" s="1"/>
  <c r="L26" i="6" l="1"/>
  <c r="M22" i="6"/>
  <c r="G26" i="6"/>
  <c r="G13" i="5"/>
  <c r="I13" i="5" s="1"/>
  <c r="F9" i="5"/>
  <c r="M26" i="6" l="1"/>
  <c r="G27" i="6"/>
  <c r="M27" i="6" s="1"/>
  <c r="F22" i="5"/>
  <c r="F23" i="5" s="1"/>
  <c r="F10" i="5"/>
  <c r="G9" i="5" l="1"/>
  <c r="I9" i="5" l="1"/>
  <c r="E20" i="5" l="1"/>
  <c r="H20" i="5" s="1"/>
  <c r="E17" i="5"/>
  <c r="E16" i="5"/>
  <c r="H16" i="5" s="1"/>
  <c r="E15" i="5"/>
  <c r="E14" i="5"/>
  <c r="H14" i="5" s="1"/>
  <c r="E13" i="5"/>
  <c r="H13" i="5" s="1"/>
  <c r="E12" i="5"/>
  <c r="E11" i="5"/>
  <c r="H11" i="5" s="1"/>
  <c r="D33" i="5"/>
  <c r="G31" i="5"/>
  <c r="G30" i="5"/>
  <c r="G32" i="5"/>
  <c r="E10" i="5"/>
  <c r="G11" i="5" l="1"/>
  <c r="I11" i="5" s="1"/>
  <c r="G12" i="5"/>
  <c r="I12" i="5" s="1"/>
  <c r="E9" i="5"/>
  <c r="H9" i="5" l="1"/>
  <c r="F33" i="5"/>
  <c r="E33" i="5"/>
  <c r="G33" i="5" l="1"/>
  <c r="G10" i="5" l="1"/>
  <c r="I10" i="5" l="1"/>
  <c r="G22" i="5"/>
  <c r="G23" i="5" s="1"/>
  <c r="H10" i="5"/>
  <c r="H12" i="5"/>
  <c r="H15" i="5"/>
  <c r="H17" i="5"/>
  <c r="C20" i="5" l="1"/>
  <c r="J20" i="5" s="1"/>
  <c r="D18" i="5"/>
  <c r="C18" i="5"/>
  <c r="J18" i="5" s="1"/>
  <c r="C17" i="5"/>
  <c r="J17" i="5" s="1"/>
  <c r="C16" i="5"/>
  <c r="J16" i="5" s="1"/>
  <c r="C15" i="5"/>
  <c r="J15" i="5" s="1"/>
  <c r="C14" i="5"/>
  <c r="J14" i="5" s="1"/>
  <c r="C13" i="5"/>
  <c r="J13" i="5" s="1"/>
  <c r="C12" i="5"/>
  <c r="J12" i="5" s="1"/>
  <c r="C11" i="5"/>
  <c r="J11" i="5" s="1"/>
  <c r="C10" i="5"/>
  <c r="J10" i="5" s="1"/>
  <c r="C9" i="5"/>
  <c r="J9" i="5" l="1"/>
  <c r="J22" i="5" s="1"/>
  <c r="J23" i="5" s="1"/>
  <c r="C22" i="5"/>
  <c r="I18" i="5"/>
  <c r="I22" i="5" s="1"/>
  <c r="I23" i="5" s="1"/>
  <c r="D22" i="5"/>
  <c r="D23" i="5" s="1"/>
  <c r="E18" i="5"/>
  <c r="H18" i="5" l="1"/>
  <c r="H22" i="5" s="1"/>
  <c r="H23" i="5" s="1"/>
  <c r="E22" i="5"/>
  <c r="E23" i="5" s="1"/>
  <c r="C16" i="4"/>
  <c r="D14" i="4"/>
  <c r="D18" i="4" s="1"/>
  <c r="D19" i="4" s="1"/>
  <c r="C14" i="4"/>
  <c r="C13" i="4"/>
  <c r="C12" i="4"/>
  <c r="C11" i="4"/>
  <c r="C10" i="4"/>
  <c r="C9" i="4"/>
  <c r="C8" i="4"/>
  <c r="C7" i="4"/>
  <c r="C6" i="4"/>
  <c r="C5" i="4"/>
  <c r="C18" i="4" l="1"/>
  <c r="E18" i="4" s="1"/>
  <c r="E19" i="4"/>
  <c r="C19" i="4"/>
  <c r="C16" i="1"/>
  <c r="C14" i="1"/>
  <c r="C13" i="1"/>
  <c r="C12" i="1"/>
  <c r="C11" i="1"/>
  <c r="C10" i="1"/>
  <c r="C9" i="1"/>
  <c r="C8" i="1"/>
  <c r="C7" i="1"/>
  <c r="C6" i="1"/>
  <c r="C5" i="1"/>
  <c r="C17" i="1" l="1"/>
  <c r="D14" i="1" l="1"/>
  <c r="D17" i="1" l="1"/>
  <c r="D18" i="1" s="1"/>
  <c r="C18" i="1" l="1"/>
  <c r="E18" i="1"/>
</calcChain>
</file>

<file path=xl/sharedStrings.xml><?xml version="1.0" encoding="utf-8"?>
<sst xmlns="http://schemas.openxmlformats.org/spreadsheetml/2006/main" count="212" uniqueCount="111">
  <si>
    <t>Порядковий номер</t>
  </si>
  <si>
    <t>Складова витрат на утримання будинку та прибудинкової території та поточного ремонту спільного майна будинку</t>
  </si>
  <si>
    <t>Річна сума складової витрат</t>
  </si>
  <si>
    <t>Місячна сума витрат у розрахунку на 1 кв. метр загальної площі житлових та нежитлових приміщень</t>
  </si>
  <si>
    <t xml:space="preserve">1. </t>
  </si>
  <si>
    <t>Обов'язковий перелік робіт (послуг)</t>
  </si>
  <si>
    <t>1.1</t>
  </si>
  <si>
    <t>1.2</t>
  </si>
  <si>
    <t>1.3</t>
  </si>
  <si>
    <t>1.4</t>
  </si>
  <si>
    <t>1.5</t>
  </si>
  <si>
    <t>1.6</t>
  </si>
  <si>
    <t>1.7</t>
  </si>
  <si>
    <t>1.8</t>
  </si>
  <si>
    <t>Дератизація</t>
  </si>
  <si>
    <t>Дезінсекція</t>
  </si>
  <si>
    <t>1.9</t>
  </si>
  <si>
    <t>1.10</t>
  </si>
  <si>
    <t>Витрати з поливання газонів</t>
  </si>
  <si>
    <t>2.</t>
  </si>
  <si>
    <t>Інші роботи (послуги), понад обов'язковий перелік</t>
  </si>
  <si>
    <t>2.1</t>
  </si>
  <si>
    <t>3.</t>
  </si>
  <si>
    <t>Загальна сума витрат (без урахування податку на додану вартість)</t>
  </si>
  <si>
    <t>4.</t>
  </si>
  <si>
    <t>Загальна сума витрат (з урахуванням податку на додану вартість)</t>
  </si>
  <si>
    <t>КОШТОРИС</t>
  </si>
  <si>
    <t>витрат на утримання будинку та прибудинкової території</t>
  </si>
  <si>
    <t>Технічне обслуговування внутрішьнобудинкових систем (водопостачання, водовідведення, теплопостачання,  зливової каналізації, електропостачання)</t>
  </si>
  <si>
    <t>Обслуговування димових та вентиляційних каналів</t>
  </si>
  <si>
    <t>Поточний ремонт конструктивних елементів, технічних пристроїв будинків та елементів зовнішнього упорядження, що розміщені на закріпленій в установленому порядку прибудинковій території (в тому числі спортивних, дитячих та інших майданчиків), та іншого спільного майна багатоквартирного будинку.</t>
  </si>
  <si>
    <t>Прибирання прибудинкової території</t>
  </si>
  <si>
    <t>Прибирання приміщень загального користування (у тому числі допоміжних)</t>
  </si>
  <si>
    <t>Прибирання і вивезення снігу, посипання частини прибудинкової території, призначеної для проходу та проїзду, протиожеледними сумішами</t>
  </si>
  <si>
    <t>Придбання електричної енергії для освітлення місць загального користування</t>
  </si>
  <si>
    <t>Поточний ремонт внутрішньобудинкових систем (водопостачання, водовідведення, теплопостачання,  зливової каналізації, електропостачання)</t>
  </si>
  <si>
    <t>2.2</t>
  </si>
  <si>
    <t xml:space="preserve">Відшкодування витрат з енергопостачання електричних котлів </t>
  </si>
  <si>
    <t>проводиться залежно від обсягів спожитої електроенергії з розрахунку на 1 кв.м загальної площі квартир за місяць.</t>
  </si>
  <si>
    <t>Загальна сума витрат без відшкодування витрат з енергопостачання електричних котлів (без урахування податку на додану вартість)</t>
  </si>
  <si>
    <t>Загальна сума витрат без відшкодування витрат з енергопостачання електричних котлів (з урахуванням податку на додану вартість)</t>
  </si>
  <si>
    <t>Складова витрат на утримання будинку та прибудинкової території та поточний ремонт спільного майна будинку</t>
  </si>
  <si>
    <t>проводиться залежно від обсягів спожитої електроенергії з розрахунку на 1 кв.м загальної площі житлових та нежитлових приміщень у будинку за місяць.</t>
  </si>
  <si>
    <t>8=5-6</t>
  </si>
  <si>
    <t>9=4-7</t>
  </si>
  <si>
    <t>10=3-6</t>
  </si>
  <si>
    <t>між витратами, передбаченими договором за період та фактичними витратами</t>
  </si>
  <si>
    <t>грн.</t>
  </si>
  <si>
    <t>між місячними сумами витрат у розрахунку на 1 кв. метр загальної площі житлових та нежитлових приміщень у будинку</t>
  </si>
  <si>
    <t>Місячна сума витрат у розрахунку на 1 кв. метр загальної площі житлових та нежитлових приміщень у будинку (4292,30 кв.м.)</t>
  </si>
  <si>
    <t>5.</t>
  </si>
  <si>
    <t>Загальна сума витрат з врахуванням відшкодування витрат з енергопостачання електричних котлів (без урахування податку на додану вартість)</t>
  </si>
  <si>
    <t>6.</t>
  </si>
  <si>
    <t>не визначено</t>
  </si>
  <si>
    <t>Загальна сума витрат з врахуванням відшкодування витрат з енергопостачання електричних котлів (з урахуванням податку на додану вартість)</t>
  </si>
  <si>
    <t xml:space="preserve">Сума складової витрат </t>
  </si>
  <si>
    <t>Місячна сума витрат у розрахунку на 1 кв. метр загальної площі житлових та нежитлових приміщень у будинку (4297,60)</t>
  </si>
  <si>
    <t>Всього</t>
  </si>
  <si>
    <t>грн. з ПДВ</t>
  </si>
  <si>
    <t>№ п/п</t>
  </si>
  <si>
    <t>Стаття витрат</t>
  </si>
  <si>
    <t>нараховано</t>
  </si>
  <si>
    <t>сплачено</t>
  </si>
  <si>
    <t>борг</t>
  </si>
  <si>
    <t>Витрати на утримання будинку та прибудинкової території</t>
  </si>
  <si>
    <t>Відшкодування витрат з електропостачання електричних котлів</t>
  </si>
  <si>
    <t>Винагорода управітелю</t>
  </si>
  <si>
    <t>Інформація КП "Керуюча компанія з обслуговування житлового фонду Дарницького району м. Києва"</t>
  </si>
  <si>
    <t>про виконання кошторису витрат на утримання будинку та прибудинкової території за адресою вул. Колекторна, 3</t>
  </si>
  <si>
    <t>Згідно з кошторисом до договору про послугу з управління багатоквартирним будинком</t>
  </si>
  <si>
    <t>за період 01.01.2022 - 31.10.2022</t>
  </si>
  <si>
    <t>Сума  складової витрат за період 01.01.2022 - 31.10.2022</t>
  </si>
  <si>
    <t>Фактичні витрати за період 01.01.2022-31.10.2022</t>
  </si>
  <si>
    <t>Різниця  (економія) за період 01.01.2022-31.10.2022</t>
  </si>
  <si>
    <t>Залишок коштів по кошторису станом на 01.11.2022</t>
  </si>
  <si>
    <t>Інформація щодо оплати споживачами послуг з управління багатоквартирним будинком за адресою вул.Колекторна, 3 за період 01.01.2022 - 31.10.2022</t>
  </si>
  <si>
    <t>борг(+)/переплата(-) на початок року</t>
  </si>
  <si>
    <t>за період 01.03.2025 - 31.12.2025</t>
  </si>
  <si>
    <t>Технічне обслуговування внутрішньобудинкових систем: водопостачання, водовідведення, теплопостачання, гарячого водопостачання, зливової каналізації, електропостачання</t>
  </si>
  <si>
    <t>Технічне обслуговування ліфтів</t>
  </si>
  <si>
    <t>Обслуговування систем диспетчеризації</t>
  </si>
  <si>
    <t>Технічне обслуговування систем протипожежної автоматики та димовидалення, а також інших внутрішньобудинкових інженерних систем (у разі їх наявності)</t>
  </si>
  <si>
    <t>Поточний ремонт конструктивних елементів, технічних пристроїв будинків та елементів зовнішнього упорядження, що розміщені на закріпленій в установленому порядку прибудинковій території (в тому числі спортивних, дитячих та інших майданчиків), та іншого спільного майна багатоквартирного будинку</t>
  </si>
  <si>
    <t>Поточний ремонт внутрішньобудинкових систем: водопостачання, водовідведення, теплопостачання, гарячого водопостачання, зливової каналізації, електропостачання</t>
  </si>
  <si>
    <t>Поточний ремонт систем протипожежної автоматики та димовидалення, а також інших внутрішньобудинкових інженерних систем (у разі їх наявності)</t>
  </si>
  <si>
    <t>Придбання електричної енергії для освітлення місць загального користування, живлення ліфтів та забезпечення функціонування іншого спільного майна багатоквартирного будинку, у тому числі:</t>
  </si>
  <si>
    <t>освітлення місць загального користування</t>
  </si>
  <si>
    <t>живлення ліфтів</t>
  </si>
  <si>
    <t>Сума  складової витрат за період 01.03.2025 - 31.12.2025</t>
  </si>
  <si>
    <t>Фактичні витрати за період 01.03.2025-31.12.2025</t>
  </si>
  <si>
    <t>1</t>
  </si>
  <si>
    <t>1.11</t>
  </si>
  <si>
    <t>1.12</t>
  </si>
  <si>
    <t>1.13</t>
  </si>
  <si>
    <t>1.14</t>
  </si>
  <si>
    <t>1.14.1</t>
  </si>
  <si>
    <t>1.14.2</t>
  </si>
  <si>
    <t>2</t>
  </si>
  <si>
    <t>Корегування складових витрат з врахуванням знижок</t>
  </si>
  <si>
    <t>Місячна сума витрат у розрахунку на 1 кв. метр загальної площі  з врахуванням зменшення</t>
  </si>
  <si>
    <t>Фактичні витрати за період 01.03.2025-30.09.2025</t>
  </si>
  <si>
    <t>Очікувані витрати за 4 квартал 2025</t>
  </si>
  <si>
    <t>Різниця за період 01.03.2025-31.12.2025</t>
  </si>
  <si>
    <t>12=6-10</t>
  </si>
  <si>
    <t>13=7-11</t>
  </si>
  <si>
    <t>0,00</t>
  </si>
  <si>
    <t>про виконання кошторису витрат на утримання будинку та прибудинкової території за адресою вул. Тростянецька, 3</t>
  </si>
  <si>
    <t>Місячна сума витрат у розрахунку на 1 кв. метр загальної площі житлових та нежитлових приміщень у будинку (37562,4 кв.м.)</t>
  </si>
  <si>
    <t>між витратами, передбаченими договором, після корегування за період та фактичними витратами</t>
  </si>
  <si>
    <t>Борг мешканців станом на 01.12.2025</t>
  </si>
  <si>
    <t>263 683,66 грн.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</si>
</sst>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0"/>
    <numFmt numFmtId="165" formatCode="###\ ###\ ###\ ##0.00"/>
    <numFmt numFmtId="166" formatCode="#,##0.0000"/>
    <numFmt numFmtId="167" formatCode="###\ ###\ ###\ ##0.0000"/>
  </numFmts>
  <fonts count="7" x14ac:knownFonts="1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color theme="1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b/>
      <sz val="10"/>
      <color theme="1"/>
      <name val="Arial"/>
      <family val="2"/>
      <charset val="204"/>
    </font>
    <font>
      <b/>
      <sz val="11"/>
      <color theme="1"/>
      <name val="Calibri"/>
      <family val="2"/>
      <charset val="204"/>
      <scheme val="minor"/>
    </font>
    <font>
      <b/>
      <sz val="10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113">
    <xf numFmtId="0" fontId="0" fillId="0" borderId="0" xfId="0"/>
    <xf numFmtId="0" fontId="2" fillId="0" borderId="1" xfId="0" applyFont="1" applyBorder="1"/>
    <xf numFmtId="2" fontId="1" fillId="0" borderId="2" xfId="1" applyNumberFormat="1" applyFont="1" applyFill="1" applyBorder="1" applyAlignment="1">
      <alignment horizontal="left" vertical="center" wrapText="1"/>
    </xf>
    <xf numFmtId="0" fontId="2" fillId="0" borderId="1" xfId="0" applyFont="1" applyBorder="1" applyAlignment="1">
      <alignment vertical="distributed"/>
    </xf>
    <xf numFmtId="0" fontId="2" fillId="0" borderId="1" xfId="0" applyFont="1" applyBorder="1" applyAlignment="1">
      <alignment horizontal="center"/>
    </xf>
    <xf numFmtId="49" fontId="2" fillId="0" borderId="1" xfId="0" applyNumberFormat="1" applyFont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/>
    </xf>
    <xf numFmtId="2" fontId="2" fillId="0" borderId="1" xfId="0" applyNumberFormat="1" applyFont="1" applyBorder="1" applyAlignment="1">
      <alignment horizontal="center" vertical="center"/>
    </xf>
    <xf numFmtId="2" fontId="1" fillId="0" borderId="2" xfId="1" applyNumberFormat="1" applyFont="1" applyFill="1" applyBorder="1" applyAlignment="1">
      <alignment horizontal="center" vertical="center" wrapText="1"/>
    </xf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/>
    </xf>
    <xf numFmtId="2" fontId="1" fillId="0" borderId="1" xfId="1" applyNumberFormat="1" applyFont="1" applyFill="1" applyBorder="1" applyAlignment="1">
      <alignment horizontal="left" vertical="center" wrapText="1"/>
    </xf>
    <xf numFmtId="2" fontId="1" fillId="0" borderId="1" xfId="1" applyNumberFormat="1" applyFont="1" applyFill="1" applyBorder="1" applyAlignment="1">
      <alignment horizontal="center" vertical="center" wrapText="1"/>
    </xf>
    <xf numFmtId="0" fontId="2" fillId="0" borderId="2" xfId="0" applyFont="1" applyBorder="1" applyAlignment="1">
      <alignment vertical="distributed"/>
    </xf>
    <xf numFmtId="164" fontId="2" fillId="0" borderId="1" xfId="0" applyNumberFormat="1" applyFont="1" applyBorder="1" applyAlignment="1">
      <alignment horizontal="center" vertical="center"/>
    </xf>
    <xf numFmtId="2" fontId="0" fillId="0" borderId="0" xfId="0" applyNumberFormat="1"/>
    <xf numFmtId="0" fontId="2" fillId="0" borderId="1" xfId="0" applyFont="1" applyBorder="1" applyAlignment="1">
      <alignment horizontal="center" vertical="distributed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2" fontId="1" fillId="0" borderId="6" xfId="1" applyNumberFormat="1" applyFont="1" applyFill="1" applyBorder="1" applyAlignment="1">
      <alignment horizontal="center" vertical="center" wrapText="1"/>
    </xf>
    <xf numFmtId="0" fontId="0" fillId="0" borderId="1" xfId="0" applyBorder="1"/>
    <xf numFmtId="0" fontId="1" fillId="0" borderId="2" xfId="1" applyNumberFormat="1" applyFont="1" applyFill="1" applyBorder="1" applyAlignment="1">
      <alignment horizontal="center" vertical="center" wrapText="1"/>
    </xf>
    <xf numFmtId="0" fontId="1" fillId="0" borderId="1" xfId="1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49" fontId="2" fillId="0" borderId="1" xfId="0" applyNumberFormat="1" applyFont="1" applyFill="1" applyBorder="1" applyAlignment="1">
      <alignment horizontal="center" vertical="center"/>
    </xf>
    <xf numFmtId="2" fontId="1" fillId="2" borderId="1" xfId="1" applyNumberFormat="1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/>
    </xf>
    <xf numFmtId="0" fontId="0" fillId="2" borderId="0" xfId="0" applyFill="1"/>
    <xf numFmtId="164" fontId="2" fillId="2" borderId="1" xfId="0" applyNumberFormat="1" applyFont="1" applyFill="1" applyBorder="1" applyAlignment="1">
      <alignment horizontal="center" vertical="center"/>
    </xf>
    <xf numFmtId="2" fontId="6" fillId="0" borderId="7" xfId="1" applyNumberFormat="1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/>
    </xf>
    <xf numFmtId="0" fontId="0" fillId="0" borderId="7" xfId="0" applyBorder="1" applyAlignment="1">
      <alignment horizontal="center"/>
    </xf>
    <xf numFmtId="2" fontId="6" fillId="0" borderId="0" xfId="1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49" fontId="2" fillId="0" borderId="0" xfId="0" applyNumberFormat="1" applyFont="1" applyFill="1" applyBorder="1" applyAlignment="1">
      <alignment horizontal="center" vertical="center"/>
    </xf>
    <xf numFmtId="2" fontId="4" fillId="0" borderId="1" xfId="0" applyNumberFormat="1" applyFont="1" applyBorder="1" applyAlignment="1">
      <alignment horizontal="center" vertical="center"/>
    </xf>
    <xf numFmtId="2" fontId="2" fillId="3" borderId="1" xfId="0" applyNumberFormat="1" applyFont="1" applyFill="1" applyBorder="1" applyAlignment="1">
      <alignment horizontal="center" vertical="center"/>
    </xf>
    <xf numFmtId="2" fontId="4" fillId="0" borderId="0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2" fillId="3" borderId="1" xfId="0" applyFont="1" applyFill="1" applyBorder="1" applyAlignment="1">
      <alignment horizontal="center" vertical="center"/>
    </xf>
    <xf numFmtId="0" fontId="0" fillId="2" borderId="1" xfId="0" applyFill="1" applyBorder="1"/>
    <xf numFmtId="0" fontId="0" fillId="3" borderId="1" xfId="0" applyFill="1" applyBorder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2" fontId="2" fillId="3" borderId="1" xfId="0" applyNumberFormat="1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164" fontId="2" fillId="3" borderId="1" xfId="0" applyNumberFormat="1" applyFont="1" applyFill="1" applyBorder="1" applyAlignment="1">
      <alignment horizontal="center"/>
    </xf>
    <xf numFmtId="164" fontId="2" fillId="3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2" fillId="2" borderId="4" xfId="0" applyFont="1" applyFill="1" applyBorder="1" applyAlignment="1">
      <alignment horizontal="center" vertical="center" wrapText="1"/>
    </xf>
    <xf numFmtId="2" fontId="1" fillId="2" borderId="2" xfId="1" applyNumberFormat="1" applyFont="1" applyFill="1" applyBorder="1" applyAlignment="1">
      <alignment horizontal="center" vertical="center" wrapText="1"/>
    </xf>
    <xf numFmtId="2" fontId="1" fillId="2" borderId="6" xfId="1" applyNumberFormat="1" applyFont="1" applyFill="1" applyBorder="1" applyAlignment="1">
      <alignment horizontal="center" vertical="center" wrapText="1"/>
    </xf>
    <xf numFmtId="0" fontId="1" fillId="2" borderId="2" xfId="1" applyNumberFormat="1" applyFont="1" applyFill="1" applyBorder="1" applyAlignment="1">
      <alignment horizontal="center" vertical="center" wrapText="1"/>
    </xf>
    <xf numFmtId="0" fontId="1" fillId="2" borderId="1" xfId="1" applyNumberFormat="1" applyFont="1" applyFill="1" applyBorder="1" applyAlignment="1">
      <alignment horizontal="center" vertical="center" wrapText="1"/>
    </xf>
    <xf numFmtId="49" fontId="1" fillId="2" borderId="8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/>
    </xf>
    <xf numFmtId="165" fontId="1" fillId="2" borderId="8" xfId="0" applyNumberFormat="1" applyFont="1" applyFill="1" applyBorder="1" applyAlignment="1">
      <alignment horizontal="center" vertical="center"/>
    </xf>
    <xf numFmtId="167" fontId="1" fillId="2" borderId="2" xfId="0" applyNumberFormat="1" applyFont="1" applyFill="1" applyBorder="1" applyAlignment="1">
      <alignment horizontal="center" vertical="center"/>
    </xf>
    <xf numFmtId="4" fontId="1" fillId="2" borderId="1" xfId="0" applyNumberFormat="1" applyFont="1" applyFill="1" applyBorder="1" applyAlignment="1">
      <alignment horizontal="center" vertical="center"/>
    </xf>
    <xf numFmtId="166" fontId="1" fillId="2" borderId="1" xfId="0" applyNumberFormat="1" applyFont="1" applyFill="1" applyBorder="1" applyAlignment="1">
      <alignment horizontal="center" vertical="center"/>
    </xf>
    <xf numFmtId="165" fontId="1" fillId="2" borderId="2" xfId="0" applyNumberFormat="1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left" vertical="center" wrapText="1"/>
    </xf>
    <xf numFmtId="49" fontId="1" fillId="2" borderId="1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left" vertical="center" wrapText="1"/>
    </xf>
    <xf numFmtId="165" fontId="1" fillId="2" borderId="1" xfId="0" applyNumberFormat="1" applyFont="1" applyFill="1" applyBorder="1" applyAlignment="1">
      <alignment horizontal="center" vertical="center"/>
    </xf>
    <xf numFmtId="167" fontId="1" fillId="2" borderId="1" xfId="0" applyNumberFormat="1" applyFont="1" applyFill="1" applyBorder="1" applyAlignment="1">
      <alignment horizontal="center" vertical="center"/>
    </xf>
    <xf numFmtId="165" fontId="1" fillId="2" borderId="3" xfId="0" applyNumberFormat="1" applyFont="1" applyFill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 vertical="center"/>
    </xf>
    <xf numFmtId="0" fontId="2" fillId="2" borderId="0" xfId="0" applyFont="1" applyFill="1" applyBorder="1"/>
    <xf numFmtId="4" fontId="2" fillId="2" borderId="0" xfId="0" applyNumberFormat="1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/>
    </xf>
    <xf numFmtId="0" fontId="0" fillId="0" borderId="3" xfId="0" applyBorder="1" applyAlignment="1"/>
    <xf numFmtId="0" fontId="0" fillId="0" borderId="5" xfId="0" applyBorder="1" applyAlignment="1"/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2" fontId="6" fillId="0" borderId="0" xfId="1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0" fillId="0" borderId="0" xfId="0" applyAlignment="1"/>
    <xf numFmtId="0" fontId="0" fillId="0" borderId="0" xfId="0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2" fillId="0" borderId="3" xfId="0" applyFont="1" applyBorder="1" applyAlignment="1"/>
    <xf numFmtId="0" fontId="0" fillId="0" borderId="4" xfId="0" applyBorder="1" applyAlignment="1"/>
    <xf numFmtId="0" fontId="0" fillId="0" borderId="3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2" fontId="1" fillId="0" borderId="1" xfId="1" applyNumberFormat="1" applyFont="1" applyFill="1" applyBorder="1" applyAlignment="1">
      <alignment horizontal="center" vertical="center" wrapText="1"/>
    </xf>
    <xf numFmtId="0" fontId="0" fillId="0" borderId="1" xfId="0" applyBorder="1" applyAlignment="1"/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3" xfId="0" applyBorder="1" applyAlignment="1">
      <alignment horizontal="center" vertical="distributed"/>
    </xf>
    <xf numFmtId="0" fontId="0" fillId="0" borderId="5" xfId="0" applyBorder="1" applyAlignment="1">
      <alignment horizontal="center"/>
    </xf>
    <xf numFmtId="0" fontId="0" fillId="0" borderId="1" xfId="0" applyBorder="1" applyAlignment="1">
      <alignment horizontal="center"/>
    </xf>
    <xf numFmtId="0" fontId="2" fillId="2" borderId="0" xfId="0" applyFont="1" applyFill="1" applyBorder="1" applyAlignment="1">
      <alignment horizontal="left"/>
    </xf>
    <xf numFmtId="0" fontId="4" fillId="2" borderId="0" xfId="0" applyFont="1" applyFill="1" applyAlignment="1">
      <alignment horizontal="center"/>
    </xf>
    <xf numFmtId="2" fontId="1" fillId="2" borderId="2" xfId="1" applyNumberFormat="1" applyFont="1" applyFill="1" applyBorder="1" applyAlignment="1">
      <alignment horizontal="center" vertical="center" wrapText="1"/>
    </xf>
    <xf numFmtId="2" fontId="1" fillId="2" borderId="9" xfId="1" applyNumberFormat="1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distributed"/>
    </xf>
    <xf numFmtId="0" fontId="2" fillId="2" borderId="5" xfId="0" applyFont="1" applyFill="1" applyBorder="1" applyAlignment="1">
      <alignment horizontal="center" vertical="distributed"/>
    </xf>
    <xf numFmtId="0" fontId="2" fillId="2" borderId="1" xfId="0" applyFont="1" applyFill="1" applyBorder="1" applyAlignment="1">
      <alignment horizontal="left"/>
    </xf>
    <xf numFmtId="0" fontId="2" fillId="0" borderId="0" xfId="0" applyFont="1" applyAlignment="1">
      <alignment horizontal="center"/>
    </xf>
  </cellXfs>
  <cellStyles count="3">
    <cellStyle name="Обычный" xfId="0" builtinId="0"/>
    <cellStyle name="Обычный 2" xfId="2"/>
    <cellStyle name="Обычный_Лист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6"/>
  <sheetViews>
    <sheetView view="pageBreakPreview" topLeftCell="A8" zoomScaleNormal="100" zoomScaleSheetLayoutView="100" workbookViewId="0">
      <selection activeCell="B22" sqref="B22"/>
    </sheetView>
  </sheetViews>
  <sheetFormatPr defaultRowHeight="15" x14ac:dyDescent="0.25"/>
  <cols>
    <col min="1" max="1" width="11" customWidth="1"/>
    <col min="2" max="2" width="47" customWidth="1"/>
    <col min="3" max="3" width="12.42578125" customWidth="1"/>
    <col min="4" max="4" width="25.42578125" customWidth="1"/>
    <col min="5" max="5" width="15" customWidth="1"/>
    <col min="6" max="6" width="14.85546875" customWidth="1"/>
    <col min="7" max="7" width="30.7109375" customWidth="1"/>
    <col min="8" max="8" width="18.7109375" customWidth="1"/>
    <col min="9" max="9" width="18.5703125" customWidth="1"/>
    <col min="10" max="10" width="14.140625" customWidth="1"/>
  </cols>
  <sheetData>
    <row r="1" spans="1:10" x14ac:dyDescent="0.25">
      <c r="A1" s="97" t="s">
        <v>67</v>
      </c>
      <c r="B1" s="97"/>
      <c r="C1" s="97"/>
      <c r="D1" s="97"/>
      <c r="E1" s="84"/>
      <c r="F1" s="84"/>
      <c r="G1" s="84"/>
      <c r="H1" s="84"/>
      <c r="I1" s="84"/>
      <c r="J1" s="84"/>
    </row>
    <row r="2" spans="1:10" x14ac:dyDescent="0.25">
      <c r="A2" s="97" t="s">
        <v>68</v>
      </c>
      <c r="B2" s="97"/>
      <c r="C2" s="97"/>
      <c r="D2" s="97"/>
      <c r="E2" s="84"/>
      <c r="F2" s="84"/>
      <c r="G2" s="84"/>
      <c r="H2" s="84"/>
      <c r="I2" s="84"/>
      <c r="J2" s="84"/>
    </row>
    <row r="3" spans="1:10" x14ac:dyDescent="0.25">
      <c r="A3" s="97" t="s">
        <v>70</v>
      </c>
      <c r="B3" s="98"/>
      <c r="C3" s="98"/>
      <c r="D3" s="98"/>
      <c r="E3" s="84"/>
      <c r="F3" s="84"/>
      <c r="G3" s="84"/>
      <c r="H3" s="84"/>
      <c r="I3" s="84"/>
      <c r="J3" s="84"/>
    </row>
    <row r="4" spans="1:10" hidden="1" x14ac:dyDescent="0.25">
      <c r="A4" s="19"/>
      <c r="B4" s="19"/>
      <c r="C4" s="19"/>
      <c r="D4" s="19"/>
      <c r="E4" s="20"/>
      <c r="J4" s="25" t="s">
        <v>47</v>
      </c>
    </row>
    <row r="5" spans="1:10" ht="34.5" customHeight="1" x14ac:dyDescent="0.25">
      <c r="A5" s="95" t="s">
        <v>0</v>
      </c>
      <c r="B5" s="95" t="s">
        <v>41</v>
      </c>
      <c r="C5" s="92" t="s">
        <v>69</v>
      </c>
      <c r="D5" s="93"/>
      <c r="E5" s="94"/>
      <c r="F5" s="90" t="s">
        <v>72</v>
      </c>
      <c r="G5" s="91"/>
      <c r="H5" s="99" t="s">
        <v>73</v>
      </c>
      <c r="I5" s="100"/>
      <c r="J5" s="95" t="s">
        <v>74</v>
      </c>
    </row>
    <row r="6" spans="1:10" ht="111" customHeight="1" x14ac:dyDescent="0.25">
      <c r="A6" s="101"/>
      <c r="B6" s="101"/>
      <c r="C6" s="8" t="s">
        <v>2</v>
      </c>
      <c r="D6" s="14" t="s">
        <v>49</v>
      </c>
      <c r="E6" s="14" t="s">
        <v>71</v>
      </c>
      <c r="F6" s="27" t="s">
        <v>55</v>
      </c>
      <c r="G6" s="14" t="s">
        <v>56</v>
      </c>
      <c r="H6" s="21" t="s">
        <v>46</v>
      </c>
      <c r="I6" s="21" t="s">
        <v>48</v>
      </c>
      <c r="J6" s="96"/>
    </row>
    <row r="7" spans="1:10" ht="14.25" customHeight="1" x14ac:dyDescent="0.25">
      <c r="A7" s="23">
        <v>1</v>
      </c>
      <c r="B7" s="23">
        <v>2</v>
      </c>
      <c r="C7" s="23">
        <v>3</v>
      </c>
      <c r="D7" s="23">
        <v>4</v>
      </c>
      <c r="E7" s="23">
        <v>5</v>
      </c>
      <c r="F7" s="23">
        <v>6</v>
      </c>
      <c r="G7" s="23">
        <v>7</v>
      </c>
      <c r="H7" s="24" t="s">
        <v>43</v>
      </c>
      <c r="I7" s="24" t="s">
        <v>44</v>
      </c>
      <c r="J7" s="24" t="s">
        <v>45</v>
      </c>
    </row>
    <row r="8" spans="1:10" x14ac:dyDescent="0.25">
      <c r="A8" s="4" t="s">
        <v>4</v>
      </c>
      <c r="B8" s="88" t="s">
        <v>5</v>
      </c>
      <c r="C8" s="89"/>
      <c r="D8" s="89"/>
      <c r="E8" s="89"/>
      <c r="F8" s="89"/>
      <c r="G8" s="89"/>
      <c r="H8" s="89"/>
      <c r="I8" s="89"/>
      <c r="J8" s="79"/>
    </row>
    <row r="9" spans="1:10" ht="51" customHeight="1" x14ac:dyDescent="0.25">
      <c r="A9" s="5" t="s">
        <v>6</v>
      </c>
      <c r="B9" s="15" t="s">
        <v>28</v>
      </c>
      <c r="C9" s="38">
        <f>0.9129*12*4292.3</f>
        <v>47021.288040000007</v>
      </c>
      <c r="D9" s="42">
        <v>0.91290000000000004</v>
      </c>
      <c r="E9" s="38">
        <f t="shared" ref="E9:E18" si="0">D9*10*4292.3</f>
        <v>39184.406700000007</v>
      </c>
      <c r="F9" s="38">
        <f>26211.43+14185.36</f>
        <v>40396.79</v>
      </c>
      <c r="G9" s="51">
        <f>F9/4297.6/10</f>
        <v>0.93998487527922558</v>
      </c>
      <c r="H9" s="38">
        <f>E9-F9</f>
        <v>-1212.3832999999941</v>
      </c>
      <c r="I9" s="51">
        <f t="shared" ref="I9:I18" si="1">D9-G9</f>
        <v>-2.708487527922554E-2</v>
      </c>
      <c r="J9" s="38">
        <f>C9-F9</f>
        <v>6624.4980400000059</v>
      </c>
    </row>
    <row r="10" spans="1:10" ht="21" customHeight="1" x14ac:dyDescent="0.25">
      <c r="A10" s="5" t="s">
        <v>7</v>
      </c>
      <c r="B10" s="15" t="s">
        <v>29</v>
      </c>
      <c r="C10" s="38">
        <f>0.1188*12*4292.3</f>
        <v>6119.1028800000004</v>
      </c>
      <c r="D10" s="42">
        <v>0.1188</v>
      </c>
      <c r="E10" s="38">
        <f t="shared" si="0"/>
        <v>5099.2524000000003</v>
      </c>
      <c r="F10" s="38">
        <f>0</f>
        <v>0</v>
      </c>
      <c r="G10" s="51">
        <f t="shared" ref="G10:G12" si="2">F10/4297.6/9</f>
        <v>0</v>
      </c>
      <c r="H10" s="38">
        <f t="shared" ref="H10:H17" si="3">E10-F10</f>
        <v>5099.2524000000003</v>
      </c>
      <c r="I10" s="51">
        <f t="shared" si="1"/>
        <v>0.1188</v>
      </c>
      <c r="J10" s="38">
        <f>C10-F10</f>
        <v>6119.1028800000004</v>
      </c>
    </row>
    <row r="11" spans="1:10" ht="93" customHeight="1" x14ac:dyDescent="0.25">
      <c r="A11" s="5" t="s">
        <v>8</v>
      </c>
      <c r="B11" s="15" t="s">
        <v>30</v>
      </c>
      <c r="C11" s="38">
        <f>1.6693*12*4292.3</f>
        <v>85981.636680000011</v>
      </c>
      <c r="D11" s="42">
        <v>1.6693</v>
      </c>
      <c r="E11" s="38">
        <f t="shared" si="0"/>
        <v>71651.363900000011</v>
      </c>
      <c r="F11" s="38">
        <v>0</v>
      </c>
      <c r="G11" s="51">
        <f t="shared" si="2"/>
        <v>0</v>
      </c>
      <c r="H11" s="38">
        <f>E11-F11</f>
        <v>71651.363900000011</v>
      </c>
      <c r="I11" s="51">
        <f t="shared" si="1"/>
        <v>1.6693</v>
      </c>
      <c r="J11" s="38">
        <f t="shared" ref="J11" si="4">C11-F11</f>
        <v>85981.636680000011</v>
      </c>
    </row>
    <row r="12" spans="1:10" ht="39" customHeight="1" x14ac:dyDescent="0.25">
      <c r="A12" s="5" t="s">
        <v>9</v>
      </c>
      <c r="B12" s="15" t="s">
        <v>35</v>
      </c>
      <c r="C12" s="38">
        <f>0.7375*12*4292.3</f>
        <v>37986.85500000001</v>
      </c>
      <c r="D12" s="42">
        <v>0.73750000000000004</v>
      </c>
      <c r="E12" s="38">
        <f t="shared" si="0"/>
        <v>31655.712500000001</v>
      </c>
      <c r="F12" s="38">
        <v>0</v>
      </c>
      <c r="G12" s="51">
        <f t="shared" si="2"/>
        <v>0</v>
      </c>
      <c r="H12" s="38">
        <f t="shared" si="3"/>
        <v>31655.712500000001</v>
      </c>
      <c r="I12" s="51">
        <f t="shared" si="1"/>
        <v>0.73750000000000004</v>
      </c>
      <c r="J12" s="38">
        <f t="shared" ref="J12:J18" si="5">C12-F12</f>
        <v>37986.85500000001</v>
      </c>
    </row>
    <row r="13" spans="1:10" ht="22.5" customHeight="1" x14ac:dyDescent="0.25">
      <c r="A13" s="5" t="s">
        <v>10</v>
      </c>
      <c r="B13" s="2" t="s">
        <v>31</v>
      </c>
      <c r="C13" s="48">
        <f>3.0025*12*4292.3</f>
        <v>154651.56900000002</v>
      </c>
      <c r="D13" s="49">
        <v>3.0024999999999999</v>
      </c>
      <c r="E13" s="38">
        <f t="shared" si="0"/>
        <v>128876.3075</v>
      </c>
      <c r="F13" s="38">
        <v>101830.51</v>
      </c>
      <c r="G13" s="51">
        <f t="shared" ref="G13:G18" si="6">F13/4297.6/10</f>
        <v>2.3694738924050629</v>
      </c>
      <c r="H13" s="38">
        <f>E13-F13</f>
        <v>27045.797500000001</v>
      </c>
      <c r="I13" s="51">
        <f t="shared" si="1"/>
        <v>0.63302610759493705</v>
      </c>
      <c r="J13" s="38">
        <f t="shared" si="5"/>
        <v>52821.059000000023</v>
      </c>
    </row>
    <row r="14" spans="1:10" ht="24.75" customHeight="1" x14ac:dyDescent="0.25">
      <c r="A14" s="5" t="s">
        <v>11</v>
      </c>
      <c r="B14" s="2" t="s">
        <v>32</v>
      </c>
      <c r="C14" s="48">
        <f>0.354*12*4292.3</f>
        <v>18233.690399999999</v>
      </c>
      <c r="D14" s="50">
        <v>0.35399999999999998</v>
      </c>
      <c r="E14" s="38">
        <f t="shared" si="0"/>
        <v>15194.742</v>
      </c>
      <c r="F14" s="38">
        <v>12725.97</v>
      </c>
      <c r="G14" s="51">
        <f t="shared" si="6"/>
        <v>0.29611806589724493</v>
      </c>
      <c r="H14" s="38">
        <f>E14-F14</f>
        <v>2468.7720000000008</v>
      </c>
      <c r="I14" s="51">
        <f t="shared" si="1"/>
        <v>5.788193410275505E-2</v>
      </c>
      <c r="J14" s="38">
        <f t="shared" si="5"/>
        <v>5507.7204000000002</v>
      </c>
    </row>
    <row r="15" spans="1:10" ht="45.75" customHeight="1" x14ac:dyDescent="0.25">
      <c r="A15" s="5" t="s">
        <v>12</v>
      </c>
      <c r="B15" s="2" t="s">
        <v>33</v>
      </c>
      <c r="C15" s="38">
        <f>0.4293*12*4292.3</f>
        <v>22112.212680000001</v>
      </c>
      <c r="D15" s="42">
        <v>0.42930000000000001</v>
      </c>
      <c r="E15" s="38">
        <f t="shared" si="0"/>
        <v>18426.8439</v>
      </c>
      <c r="F15" s="38">
        <v>21495.759999999998</v>
      </c>
      <c r="G15" s="51">
        <f t="shared" si="6"/>
        <v>0.50018056589724491</v>
      </c>
      <c r="H15" s="38">
        <f t="shared" si="3"/>
        <v>-3068.9160999999986</v>
      </c>
      <c r="I15" s="51">
        <f t="shared" si="1"/>
        <v>-7.0880565897244896E-2</v>
      </c>
      <c r="J15" s="38">
        <f t="shared" si="5"/>
        <v>616.45268000000215</v>
      </c>
    </row>
    <row r="16" spans="1:10" ht="20.25" customHeight="1" x14ac:dyDescent="0.25">
      <c r="A16" s="5" t="s">
        <v>13</v>
      </c>
      <c r="B16" s="2" t="s">
        <v>14</v>
      </c>
      <c r="C16" s="38">
        <f>0.0063*12*4292.3</f>
        <v>324.49788000000001</v>
      </c>
      <c r="D16" s="50">
        <v>6.3E-3</v>
      </c>
      <c r="E16" s="38">
        <f t="shared" si="0"/>
        <v>270.41489999999999</v>
      </c>
      <c r="F16" s="38">
        <f>191.65</f>
        <v>191.65</v>
      </c>
      <c r="G16" s="51">
        <f t="shared" si="6"/>
        <v>4.4594657483246463E-3</v>
      </c>
      <c r="H16" s="38">
        <f>E16-F16</f>
        <v>78.764899999999983</v>
      </c>
      <c r="I16" s="51">
        <f t="shared" si="1"/>
        <v>1.8405342516753537E-3</v>
      </c>
      <c r="J16" s="38">
        <f t="shared" si="5"/>
        <v>132.84788</v>
      </c>
    </row>
    <row r="17" spans="1:10" ht="19.5" customHeight="1" x14ac:dyDescent="0.25">
      <c r="A17" s="5" t="s">
        <v>16</v>
      </c>
      <c r="B17" s="2" t="s">
        <v>15</v>
      </c>
      <c r="C17" s="38">
        <f>0.0072*12*4292.3</f>
        <v>370.85472000000004</v>
      </c>
      <c r="D17" s="50">
        <v>7.1999999999999998E-3</v>
      </c>
      <c r="E17" s="38">
        <f t="shared" si="0"/>
        <v>309.04559999999998</v>
      </c>
      <c r="F17" s="38">
        <v>125.65</v>
      </c>
      <c r="G17" s="51">
        <f t="shared" si="6"/>
        <v>2.9237248696947133E-3</v>
      </c>
      <c r="H17" s="38">
        <f t="shared" si="3"/>
        <v>183.39559999999997</v>
      </c>
      <c r="I17" s="51">
        <f t="shared" si="1"/>
        <v>4.2762751303052869E-3</v>
      </c>
      <c r="J17" s="38">
        <f t="shared" si="5"/>
        <v>245.20472000000004</v>
      </c>
    </row>
    <row r="18" spans="1:10" ht="25.5" x14ac:dyDescent="0.25">
      <c r="A18" s="5" t="s">
        <v>17</v>
      </c>
      <c r="B18" s="3" t="s">
        <v>34</v>
      </c>
      <c r="C18" s="38">
        <f>0.4031*12*4292.3</f>
        <v>20762.71356</v>
      </c>
      <c r="D18" s="42">
        <f>0.4031</f>
        <v>0.40310000000000001</v>
      </c>
      <c r="E18" s="38">
        <f t="shared" si="0"/>
        <v>17302.261300000002</v>
      </c>
      <c r="F18" s="38">
        <v>26701.07</v>
      </c>
      <c r="G18" s="51">
        <f t="shared" si="6"/>
        <v>0.62130188942665665</v>
      </c>
      <c r="H18" s="38">
        <f>E18-F18</f>
        <v>-9398.8086999999978</v>
      </c>
      <c r="I18" s="51">
        <f t="shared" si="1"/>
        <v>-0.21820188942665664</v>
      </c>
      <c r="J18" s="38">
        <f t="shared" si="5"/>
        <v>-5938.3564399999996</v>
      </c>
    </row>
    <row r="19" spans="1:10" ht="20.25" customHeight="1" x14ac:dyDescent="0.25">
      <c r="A19" s="5" t="s">
        <v>19</v>
      </c>
      <c r="B19" s="3" t="s">
        <v>20</v>
      </c>
      <c r="C19" s="9"/>
      <c r="D19" s="9"/>
      <c r="E19" s="7"/>
      <c r="F19" s="28"/>
      <c r="G19" s="30"/>
      <c r="H19" s="28"/>
      <c r="I19" s="30"/>
      <c r="J19" s="28"/>
    </row>
    <row r="20" spans="1:10" ht="21.75" customHeight="1" x14ac:dyDescent="0.25">
      <c r="A20" s="5" t="s">
        <v>21</v>
      </c>
      <c r="B20" s="2" t="s">
        <v>18</v>
      </c>
      <c r="C20" s="38">
        <f>0.3095*12*4292.3</f>
        <v>15941.602200000001</v>
      </c>
      <c r="D20" s="42">
        <v>0.3095</v>
      </c>
      <c r="E20" s="38">
        <f>D20*10*4292.3</f>
        <v>13284.6685</v>
      </c>
      <c r="F20" s="38">
        <v>1688.82</v>
      </c>
      <c r="G20" s="51">
        <f>F20/4297.6/10</f>
        <v>3.9296816827997016E-2</v>
      </c>
      <c r="H20" s="38">
        <f>E20-F20</f>
        <v>11595.8485</v>
      </c>
      <c r="I20" s="51">
        <f>D20-G20</f>
        <v>0.27020318317200298</v>
      </c>
      <c r="J20" s="38">
        <f>C20-F20</f>
        <v>14252.782200000001</v>
      </c>
    </row>
    <row r="21" spans="1:10" ht="63.75" customHeight="1" x14ac:dyDescent="0.25">
      <c r="A21" s="5" t="s">
        <v>36</v>
      </c>
      <c r="B21" s="2" t="s">
        <v>37</v>
      </c>
      <c r="C21" s="7"/>
      <c r="D21" s="18" t="s">
        <v>42</v>
      </c>
      <c r="E21" s="18"/>
      <c r="F21" s="28"/>
      <c r="G21" s="43"/>
      <c r="H21" s="43"/>
      <c r="I21" s="43"/>
      <c r="J21" s="43"/>
    </row>
    <row r="22" spans="1:10" ht="39" customHeight="1" x14ac:dyDescent="0.25">
      <c r="A22" s="5" t="s">
        <v>22</v>
      </c>
      <c r="B22" s="13" t="s">
        <v>39</v>
      </c>
      <c r="C22" s="38">
        <f>SUM(C9:C20)</f>
        <v>409506.02304000006</v>
      </c>
      <c r="D22" s="51">
        <f>SUM(D9:D20)</f>
        <v>7.9504000000000019</v>
      </c>
      <c r="E22" s="38">
        <f>SUM(E9:E20)-0.01</f>
        <v>341255.00919999997</v>
      </c>
      <c r="F22" s="38">
        <f>SUM(F9:F20)</f>
        <v>205156.22</v>
      </c>
      <c r="G22" s="38">
        <f>SUM(G9:G20)</f>
        <v>4.7737392963514509</v>
      </c>
      <c r="H22" s="38">
        <f>SUM(H9:H20)-0.01</f>
        <v>136098.7892</v>
      </c>
      <c r="I22" s="38">
        <f t="shared" ref="I22:J22" si="7">SUM(I9:I20)</f>
        <v>3.1766607036485488</v>
      </c>
      <c r="J22" s="28">
        <f t="shared" si="7"/>
        <v>204349.80304000003</v>
      </c>
    </row>
    <row r="23" spans="1:10" ht="45" customHeight="1" x14ac:dyDescent="0.25">
      <c r="A23" s="5" t="s">
        <v>24</v>
      </c>
      <c r="B23" s="13" t="s">
        <v>40</v>
      </c>
      <c r="C23" s="38">
        <f>9.54*12*4292.3</f>
        <v>491382.50399999996</v>
      </c>
      <c r="D23" s="38">
        <f>D22*1.2</f>
        <v>9.5404800000000023</v>
      </c>
      <c r="E23" s="38">
        <f>E22*1.2</f>
        <v>409506.01103999995</v>
      </c>
      <c r="F23" s="38">
        <f>F22*1.2</f>
        <v>246187.46399999998</v>
      </c>
      <c r="G23" s="38">
        <f>G22*1.2-0.01</f>
        <v>5.7184871556217409</v>
      </c>
      <c r="H23" s="38">
        <f t="shared" ref="H23:J23" si="8">H22*1.2</f>
        <v>163318.54704</v>
      </c>
      <c r="I23" s="38">
        <f>I22*1.2+0.01</f>
        <v>3.8219928443782583</v>
      </c>
      <c r="J23" s="28">
        <f t="shared" si="8"/>
        <v>245219.76364800002</v>
      </c>
    </row>
    <row r="24" spans="1:10" ht="39.75" customHeight="1" x14ac:dyDescent="0.25">
      <c r="A24" s="26" t="s">
        <v>50</v>
      </c>
      <c r="B24" s="13" t="s">
        <v>51</v>
      </c>
      <c r="C24" s="18" t="s">
        <v>53</v>
      </c>
      <c r="D24" s="18" t="s">
        <v>53</v>
      </c>
      <c r="E24" s="18" t="s">
        <v>53</v>
      </c>
      <c r="F24" s="28"/>
      <c r="G24" s="22"/>
      <c r="H24" s="22"/>
      <c r="I24" s="22"/>
      <c r="J24" s="22"/>
    </row>
    <row r="25" spans="1:10" ht="39.75" customHeight="1" x14ac:dyDescent="0.25">
      <c r="A25" s="26" t="s">
        <v>52</v>
      </c>
      <c r="B25" s="13" t="s">
        <v>54</v>
      </c>
      <c r="C25" s="18" t="s">
        <v>53</v>
      </c>
      <c r="D25" s="18" t="s">
        <v>53</v>
      </c>
      <c r="E25" s="18" t="s">
        <v>53</v>
      </c>
      <c r="F25" s="28"/>
      <c r="G25" s="22"/>
      <c r="H25" s="22"/>
      <c r="I25" s="22"/>
      <c r="J25" s="22"/>
    </row>
    <row r="26" spans="1:10" ht="18" customHeight="1" x14ac:dyDescent="0.25">
      <c r="F26" s="29"/>
    </row>
    <row r="27" spans="1:10" ht="35.25" customHeight="1" x14ac:dyDescent="0.25">
      <c r="A27" s="82" t="s">
        <v>75</v>
      </c>
      <c r="B27" s="83"/>
      <c r="C27" s="83"/>
      <c r="D27" s="83"/>
      <c r="E27" s="84"/>
      <c r="F27" s="84"/>
    </row>
    <row r="28" spans="1:10" ht="5.25" hidden="1" customHeight="1" x14ac:dyDescent="0.25">
      <c r="A28" s="34"/>
      <c r="B28" s="35"/>
      <c r="C28" s="35"/>
      <c r="D28" s="35"/>
      <c r="F28" s="33" t="s">
        <v>58</v>
      </c>
    </row>
    <row r="29" spans="1:10" ht="35.25" customHeight="1" x14ac:dyDescent="0.25">
      <c r="A29" s="47" t="s">
        <v>59</v>
      </c>
      <c r="B29" s="80" t="s">
        <v>60</v>
      </c>
      <c r="C29" s="81"/>
      <c r="D29" s="45" t="s">
        <v>76</v>
      </c>
      <c r="E29" s="46" t="s">
        <v>61</v>
      </c>
      <c r="F29" s="46" t="s">
        <v>62</v>
      </c>
      <c r="G29" s="46" t="s">
        <v>63</v>
      </c>
    </row>
    <row r="30" spans="1:10" ht="18" customHeight="1" x14ac:dyDescent="0.25">
      <c r="A30" s="26">
        <v>1</v>
      </c>
      <c r="B30" s="78" t="s">
        <v>64</v>
      </c>
      <c r="C30" s="79"/>
      <c r="D30" s="44">
        <v>107607.17</v>
      </c>
      <c r="E30" s="38">
        <v>409991</v>
      </c>
      <c r="F30" s="38">
        <v>369328.44</v>
      </c>
      <c r="G30" s="38">
        <f>D30+E30-F30</f>
        <v>148269.72999999998</v>
      </c>
    </row>
    <row r="31" spans="1:10" ht="18" customHeight="1" x14ac:dyDescent="0.25">
      <c r="A31" s="26">
        <v>2</v>
      </c>
      <c r="B31" s="78" t="s">
        <v>65</v>
      </c>
      <c r="C31" s="79"/>
      <c r="D31" s="41">
        <v>-46013.87</v>
      </c>
      <c r="E31" s="38">
        <v>482538</v>
      </c>
      <c r="F31" s="38">
        <v>340332.69</v>
      </c>
      <c r="G31" s="38">
        <f>E31-(F31-D31)</f>
        <v>96191.44</v>
      </c>
    </row>
    <row r="32" spans="1:10" ht="18" customHeight="1" x14ac:dyDescent="0.25">
      <c r="A32" s="26">
        <v>3</v>
      </c>
      <c r="B32" s="78" t="s">
        <v>66</v>
      </c>
      <c r="C32" s="79"/>
      <c r="D32" s="44">
        <v>12436.83</v>
      </c>
      <c r="E32" s="38">
        <v>52036.2</v>
      </c>
      <c r="F32" s="38">
        <v>46581.19</v>
      </c>
      <c r="G32" s="38">
        <f>D32+E32-F32</f>
        <v>17891.839999999997</v>
      </c>
    </row>
    <row r="33" spans="1:10" ht="18" customHeight="1" x14ac:dyDescent="0.25">
      <c r="A33" s="26"/>
      <c r="B33" s="86" t="s">
        <v>57</v>
      </c>
      <c r="C33" s="87"/>
      <c r="D33" s="40">
        <f>D30+D32+D31</f>
        <v>74030.13</v>
      </c>
      <c r="E33" s="37">
        <f>E30+E31+E32</f>
        <v>944565.2</v>
      </c>
      <c r="F33" s="37">
        <f>F30+F31+F32</f>
        <v>756242.32000000007</v>
      </c>
      <c r="G33" s="37">
        <f>G30+G31+G32</f>
        <v>262353.01</v>
      </c>
    </row>
    <row r="34" spans="1:10" ht="18" customHeight="1" x14ac:dyDescent="0.25">
      <c r="A34" s="36"/>
      <c r="B34" s="32"/>
      <c r="C34" s="32"/>
      <c r="D34" s="39"/>
      <c r="E34" s="39"/>
      <c r="F34" s="39"/>
      <c r="G34" s="17"/>
    </row>
    <row r="35" spans="1:10" ht="45" customHeight="1" x14ac:dyDescent="0.25">
      <c r="A35" s="82"/>
      <c r="B35" s="85"/>
      <c r="C35" s="85"/>
      <c r="D35" s="85"/>
      <c r="E35" s="85"/>
      <c r="F35" s="85"/>
      <c r="G35" s="32"/>
      <c r="H35" s="32"/>
      <c r="I35" s="32"/>
      <c r="J35" s="32"/>
    </row>
    <row r="36" spans="1:10" ht="1.5" customHeight="1" x14ac:dyDescent="0.25">
      <c r="A36" s="31"/>
      <c r="B36" s="33"/>
      <c r="C36" s="33"/>
      <c r="D36" s="33"/>
      <c r="E36" s="33"/>
      <c r="F36" s="33"/>
      <c r="G36" s="32"/>
      <c r="H36" s="32"/>
      <c r="I36" s="32"/>
      <c r="J36" s="32"/>
    </row>
  </sheetData>
  <mergeCells count="17">
    <mergeCell ref="B8:J8"/>
    <mergeCell ref="F5:G5"/>
    <mergeCell ref="C5:E5"/>
    <mergeCell ref="J5:J6"/>
    <mergeCell ref="A1:J1"/>
    <mergeCell ref="A2:J2"/>
    <mergeCell ref="A3:J3"/>
    <mergeCell ref="H5:I5"/>
    <mergeCell ref="A5:A6"/>
    <mergeCell ref="B5:B6"/>
    <mergeCell ref="B30:C30"/>
    <mergeCell ref="B29:C29"/>
    <mergeCell ref="B31:C31"/>
    <mergeCell ref="A27:F27"/>
    <mergeCell ref="A35:F35"/>
    <mergeCell ref="B32:C32"/>
    <mergeCell ref="B33:C33"/>
  </mergeCells>
  <pageMargins left="0.51181102362204722" right="0.51181102362204722" top="0.35433070866141736" bottom="0.55118110236220474" header="0.31496062992125984" footer="0.31496062992125984"/>
  <pageSetup paperSize="9" scale="4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1"/>
  <sheetViews>
    <sheetView tabSelected="1" view="pageBreakPreview" topLeftCell="A8" zoomScaleNormal="100" zoomScaleSheetLayoutView="100" workbookViewId="0">
      <selection activeCell="I14" sqref="I14"/>
    </sheetView>
  </sheetViews>
  <sheetFormatPr defaultRowHeight="12.75" x14ac:dyDescent="0.2"/>
  <cols>
    <col min="1" max="1" width="11" style="53" customWidth="1"/>
    <col min="2" max="2" width="47" style="53" customWidth="1"/>
    <col min="3" max="3" width="12.42578125" style="53" customWidth="1"/>
    <col min="4" max="4" width="21.42578125" style="53" customWidth="1"/>
    <col min="5" max="5" width="15" style="53" customWidth="1"/>
    <col min="6" max="6" width="13.42578125" style="53" customWidth="1"/>
    <col min="7" max="7" width="15" style="53" customWidth="1"/>
    <col min="8" max="10" width="14.85546875" style="53" customWidth="1"/>
    <col min="11" max="11" width="18.42578125" style="53" customWidth="1"/>
    <col min="12" max="12" width="16.42578125" style="53" customWidth="1"/>
    <col min="13" max="13" width="18.5703125" style="53" customWidth="1"/>
    <col min="14" max="16384" width="9.140625" style="53"/>
  </cols>
  <sheetData>
    <row r="1" spans="1:13" x14ac:dyDescent="0.2">
      <c r="A1" s="103" t="s">
        <v>67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</row>
    <row r="2" spans="1:13" x14ac:dyDescent="0.2">
      <c r="A2" s="103" t="s">
        <v>106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</row>
    <row r="3" spans="1:13" x14ac:dyDescent="0.2">
      <c r="A3" s="103" t="s">
        <v>77</v>
      </c>
      <c r="B3" s="103"/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</row>
    <row r="4" spans="1:13" hidden="1" x14ac:dyDescent="0.2">
      <c r="A4" s="54"/>
      <c r="B4" s="54"/>
      <c r="C4" s="54"/>
      <c r="D4" s="54"/>
      <c r="E4" s="54"/>
      <c r="F4" s="54"/>
      <c r="G4" s="54"/>
    </row>
    <row r="5" spans="1:13" ht="34.5" customHeight="1" x14ac:dyDescent="0.2">
      <c r="A5" s="104" t="s">
        <v>0</v>
      </c>
      <c r="B5" s="104" t="s">
        <v>41</v>
      </c>
      <c r="C5" s="106" t="s">
        <v>69</v>
      </c>
      <c r="D5" s="107"/>
      <c r="E5" s="107"/>
      <c r="F5" s="107"/>
      <c r="G5" s="55"/>
      <c r="H5" s="106" t="s">
        <v>89</v>
      </c>
      <c r="I5" s="107"/>
      <c r="J5" s="107"/>
      <c r="K5" s="108"/>
      <c r="L5" s="109" t="s">
        <v>102</v>
      </c>
      <c r="M5" s="110"/>
    </row>
    <row r="6" spans="1:13" ht="111" customHeight="1" x14ac:dyDescent="0.2">
      <c r="A6" s="105"/>
      <c r="B6" s="105"/>
      <c r="C6" s="56" t="s">
        <v>2</v>
      </c>
      <c r="D6" s="27" t="s">
        <v>107</v>
      </c>
      <c r="E6" s="27" t="s">
        <v>88</v>
      </c>
      <c r="F6" s="27" t="s">
        <v>98</v>
      </c>
      <c r="G6" s="27" t="s">
        <v>99</v>
      </c>
      <c r="H6" s="27" t="s">
        <v>100</v>
      </c>
      <c r="I6" s="27" t="s">
        <v>101</v>
      </c>
      <c r="J6" s="27" t="s">
        <v>89</v>
      </c>
      <c r="K6" s="27" t="s">
        <v>107</v>
      </c>
      <c r="L6" s="57" t="s">
        <v>108</v>
      </c>
      <c r="M6" s="57" t="s">
        <v>48</v>
      </c>
    </row>
    <row r="7" spans="1:13" ht="14.25" customHeight="1" x14ac:dyDescent="0.2">
      <c r="A7" s="58">
        <v>1</v>
      </c>
      <c r="B7" s="59">
        <v>2</v>
      </c>
      <c r="C7" s="59">
        <v>3</v>
      </c>
      <c r="D7" s="59">
        <v>4</v>
      </c>
      <c r="E7" s="59">
        <v>5</v>
      </c>
      <c r="F7" s="59">
        <v>6</v>
      </c>
      <c r="G7" s="59">
        <v>7</v>
      </c>
      <c r="H7" s="59">
        <v>8</v>
      </c>
      <c r="I7" s="59">
        <v>9</v>
      </c>
      <c r="J7" s="59">
        <v>10</v>
      </c>
      <c r="K7" s="59">
        <v>11</v>
      </c>
      <c r="L7" s="59" t="s">
        <v>103</v>
      </c>
      <c r="M7" s="59" t="s">
        <v>104</v>
      </c>
    </row>
    <row r="8" spans="1:13" x14ac:dyDescent="0.2">
      <c r="A8" s="60" t="s">
        <v>90</v>
      </c>
      <c r="B8" s="61" t="s">
        <v>5</v>
      </c>
      <c r="C8" s="52"/>
      <c r="D8" s="52"/>
      <c r="E8" s="52"/>
      <c r="F8" s="52"/>
      <c r="G8" s="52"/>
      <c r="H8" s="61"/>
      <c r="I8" s="61"/>
      <c r="J8" s="61"/>
      <c r="K8" s="61"/>
      <c r="L8" s="61"/>
      <c r="M8" s="61"/>
    </row>
    <row r="9" spans="1:13" ht="51" x14ac:dyDescent="0.2">
      <c r="A9" s="60" t="s">
        <v>6</v>
      </c>
      <c r="B9" s="62" t="s">
        <v>78</v>
      </c>
      <c r="C9" s="63">
        <v>864369.48</v>
      </c>
      <c r="D9" s="64">
        <v>1.9176299999999999</v>
      </c>
      <c r="E9" s="65">
        <f>C9/12*10</f>
        <v>720307.89999999991</v>
      </c>
      <c r="F9" s="65">
        <f>E9</f>
        <v>720307.89999999991</v>
      </c>
      <c r="G9" s="66">
        <f>F9/37562.4/10</f>
        <v>1.9176301301301297</v>
      </c>
      <c r="H9" s="63">
        <v>407953.00494765275</v>
      </c>
      <c r="I9" s="63">
        <f>H9/7*3</f>
        <v>174837.00212042261</v>
      </c>
      <c r="J9" s="63">
        <f>H9+I9</f>
        <v>582790.00706807536</v>
      </c>
      <c r="K9" s="30">
        <f>J9/37562.4/10</f>
        <v>1.5515249480013931</v>
      </c>
      <c r="L9" s="67">
        <f>F9-J9</f>
        <v>137517.89293192455</v>
      </c>
      <c r="M9" s="30">
        <f>G9-K9</f>
        <v>0.36610518212873666</v>
      </c>
    </row>
    <row r="10" spans="1:13" x14ac:dyDescent="0.2">
      <c r="A10" s="60" t="s">
        <v>7</v>
      </c>
      <c r="B10" s="68" t="s">
        <v>79</v>
      </c>
      <c r="C10" s="63">
        <v>476892.24</v>
      </c>
      <c r="D10" s="64">
        <v>1.0580000000000001</v>
      </c>
      <c r="E10" s="65">
        <f t="shared" ref="E10:E13" si="0">C10/12*10</f>
        <v>397410.19999999995</v>
      </c>
      <c r="F10" s="65">
        <f>E10*(100-33)/100</f>
        <v>266264.83399999997</v>
      </c>
      <c r="G10" s="66">
        <f t="shared" ref="G10:G25" si="1">F10/37562.4/10</f>
        <v>0.70886001426958867</v>
      </c>
      <c r="H10" s="63">
        <v>187430.66555555997</v>
      </c>
      <c r="I10" s="63">
        <f>H10/7*3</f>
        <v>80327.428095239986</v>
      </c>
      <c r="J10" s="63">
        <f t="shared" ref="J10:J26" si="2">H10+I10</f>
        <v>267758.09365079994</v>
      </c>
      <c r="K10" s="30">
        <f t="shared" ref="K10:K25" si="3">J10/37562.4/10</f>
        <v>0.71283542492173013</v>
      </c>
      <c r="L10" s="67">
        <f t="shared" ref="L10:L27" si="4">F10-J10</f>
        <v>-1493.2596507999697</v>
      </c>
      <c r="M10" s="30">
        <f t="shared" ref="M10:M25" si="5">G10-K10</f>
        <v>-3.9754106521414645E-3</v>
      </c>
    </row>
    <row r="11" spans="1:13" x14ac:dyDescent="0.2">
      <c r="A11" s="60" t="s">
        <v>8</v>
      </c>
      <c r="B11" s="68" t="s">
        <v>80</v>
      </c>
      <c r="C11" s="63">
        <v>39125.040000000001</v>
      </c>
      <c r="D11" s="64">
        <v>8.6800000000000002E-2</v>
      </c>
      <c r="E11" s="65">
        <f t="shared" si="0"/>
        <v>32604.2</v>
      </c>
      <c r="F11" s="65">
        <v>0</v>
      </c>
      <c r="G11" s="66">
        <f t="shared" si="1"/>
        <v>0</v>
      </c>
      <c r="H11" s="63">
        <v>0</v>
      </c>
      <c r="I11" s="63">
        <v>0</v>
      </c>
      <c r="J11" s="63">
        <f t="shared" si="2"/>
        <v>0</v>
      </c>
      <c r="K11" s="30">
        <f t="shared" si="3"/>
        <v>0</v>
      </c>
      <c r="L11" s="67">
        <f t="shared" si="4"/>
        <v>0</v>
      </c>
      <c r="M11" s="30">
        <f t="shared" si="5"/>
        <v>0</v>
      </c>
    </row>
    <row r="12" spans="1:13" x14ac:dyDescent="0.2">
      <c r="A12" s="60" t="s">
        <v>9</v>
      </c>
      <c r="B12" s="68" t="s">
        <v>29</v>
      </c>
      <c r="C12" s="63">
        <v>21230.28</v>
      </c>
      <c r="D12" s="64">
        <v>4.7100000000000003E-2</v>
      </c>
      <c r="E12" s="65">
        <f t="shared" si="0"/>
        <v>17691.899999999998</v>
      </c>
      <c r="F12" s="65">
        <f>E12*0.44</f>
        <v>7784.4359999999988</v>
      </c>
      <c r="G12" s="66">
        <f t="shared" si="1"/>
        <v>2.0724011245287839E-2</v>
      </c>
      <c r="H12" s="63">
        <v>1906.8591194999999</v>
      </c>
      <c r="I12" s="63">
        <v>0</v>
      </c>
      <c r="J12" s="63">
        <f t="shared" si="2"/>
        <v>1906.8591194999999</v>
      </c>
      <c r="K12" s="30">
        <f t="shared" si="3"/>
        <v>5.0765103387962422E-3</v>
      </c>
      <c r="L12" s="67">
        <f t="shared" si="4"/>
        <v>5877.5768804999989</v>
      </c>
      <c r="M12" s="30">
        <f t="shared" si="5"/>
        <v>1.5647500906491599E-2</v>
      </c>
    </row>
    <row r="13" spans="1:13" ht="51" x14ac:dyDescent="0.2">
      <c r="A13" s="60" t="s">
        <v>10</v>
      </c>
      <c r="B13" s="68" t="s">
        <v>81</v>
      </c>
      <c r="C13" s="63">
        <v>0</v>
      </c>
      <c r="D13" s="64">
        <v>0</v>
      </c>
      <c r="E13" s="65">
        <f t="shared" si="0"/>
        <v>0</v>
      </c>
      <c r="F13" s="65">
        <v>0</v>
      </c>
      <c r="G13" s="66">
        <f t="shared" si="1"/>
        <v>0</v>
      </c>
      <c r="H13" s="63">
        <v>0</v>
      </c>
      <c r="I13" s="63">
        <v>0</v>
      </c>
      <c r="J13" s="63">
        <f t="shared" si="2"/>
        <v>0</v>
      </c>
      <c r="K13" s="30">
        <f t="shared" si="3"/>
        <v>0</v>
      </c>
      <c r="L13" s="67">
        <f t="shared" si="4"/>
        <v>0</v>
      </c>
      <c r="M13" s="30">
        <f t="shared" si="5"/>
        <v>0</v>
      </c>
    </row>
    <row r="14" spans="1:13" ht="89.25" x14ac:dyDescent="0.2">
      <c r="A14" s="60" t="s">
        <v>11</v>
      </c>
      <c r="B14" s="68" t="s">
        <v>82</v>
      </c>
      <c r="C14" s="63">
        <v>450820.92</v>
      </c>
      <c r="D14" s="64">
        <v>1.0001599999999999</v>
      </c>
      <c r="E14" s="65">
        <f>C14/12*7</f>
        <v>262978.87</v>
      </c>
      <c r="F14" s="65">
        <f>E14*0.6</f>
        <v>157787.32199999999</v>
      </c>
      <c r="G14" s="66">
        <f t="shared" si="1"/>
        <v>0.4200672001789022</v>
      </c>
      <c r="H14" s="63">
        <v>114746.06390837225</v>
      </c>
      <c r="I14" s="63">
        <f>25995.9*1.2+65000</f>
        <v>96195.08</v>
      </c>
      <c r="J14" s="63">
        <f t="shared" si="2"/>
        <v>210941.14390837227</v>
      </c>
      <c r="K14" s="30">
        <f t="shared" si="3"/>
        <v>0.5615752558632362</v>
      </c>
      <c r="L14" s="67">
        <f t="shared" si="4"/>
        <v>-53153.82190837228</v>
      </c>
      <c r="M14" s="30">
        <f t="shared" si="5"/>
        <v>-0.141508055684334</v>
      </c>
    </row>
    <row r="15" spans="1:13" ht="51" x14ac:dyDescent="0.2">
      <c r="A15" s="60" t="s">
        <v>12</v>
      </c>
      <c r="B15" s="68" t="s">
        <v>83</v>
      </c>
      <c r="C15" s="63">
        <v>285959.52</v>
      </c>
      <c r="D15" s="64">
        <v>0.63441000000000003</v>
      </c>
      <c r="E15" s="65">
        <f>C15/12*7</f>
        <v>166809.72000000003</v>
      </c>
      <c r="F15" s="65">
        <f>E15*0.6</f>
        <v>100085.83200000001</v>
      </c>
      <c r="G15" s="66">
        <f t="shared" si="1"/>
        <v>0.26645217557983514</v>
      </c>
      <c r="H15" s="63">
        <v>124182.493512495</v>
      </c>
      <c r="I15" s="63">
        <v>0</v>
      </c>
      <c r="J15" s="63">
        <f t="shared" si="2"/>
        <v>124182.493512495</v>
      </c>
      <c r="K15" s="30">
        <f t="shared" si="3"/>
        <v>0.33060319232129737</v>
      </c>
      <c r="L15" s="67">
        <f t="shared" si="4"/>
        <v>-24096.661512494989</v>
      </c>
      <c r="M15" s="30">
        <f t="shared" si="5"/>
        <v>-6.415101674146223E-2</v>
      </c>
    </row>
    <row r="16" spans="1:13" ht="51" x14ac:dyDescent="0.2">
      <c r="A16" s="60" t="s">
        <v>13</v>
      </c>
      <c r="B16" s="68" t="s">
        <v>84</v>
      </c>
      <c r="C16" s="63">
        <v>0</v>
      </c>
      <c r="D16" s="64">
        <v>0</v>
      </c>
      <c r="E16" s="65">
        <f>C16/12*10</f>
        <v>0</v>
      </c>
      <c r="F16" s="65">
        <v>0</v>
      </c>
      <c r="G16" s="66">
        <f t="shared" si="1"/>
        <v>0</v>
      </c>
      <c r="H16" s="63">
        <v>0</v>
      </c>
      <c r="I16" s="63">
        <v>0</v>
      </c>
      <c r="J16" s="63">
        <f t="shared" si="2"/>
        <v>0</v>
      </c>
      <c r="K16" s="30">
        <f t="shared" si="3"/>
        <v>0</v>
      </c>
      <c r="L16" s="67">
        <f t="shared" si="4"/>
        <v>0</v>
      </c>
      <c r="M16" s="30">
        <f t="shared" si="5"/>
        <v>0</v>
      </c>
    </row>
    <row r="17" spans="1:13" ht="16.5" customHeight="1" x14ac:dyDescent="0.2">
      <c r="A17" s="60" t="s">
        <v>16</v>
      </c>
      <c r="B17" s="68" t="s">
        <v>31</v>
      </c>
      <c r="C17" s="63">
        <v>870666.36</v>
      </c>
      <c r="D17" s="64">
        <v>1.9316</v>
      </c>
      <c r="E17" s="65">
        <f>C17/12*10</f>
        <v>725555.3</v>
      </c>
      <c r="F17" s="65">
        <f>E17</f>
        <v>725555.3</v>
      </c>
      <c r="G17" s="66">
        <f t="shared" si="1"/>
        <v>1.9315999510148447</v>
      </c>
      <c r="H17" s="63">
        <v>503703.40070351691</v>
      </c>
      <c r="I17" s="63">
        <f>(H17-2694)/7*2</f>
        <v>143145.54305814768</v>
      </c>
      <c r="J17" s="63">
        <f t="shared" si="2"/>
        <v>646848.94376166456</v>
      </c>
      <c r="K17" s="30">
        <f t="shared" si="3"/>
        <v>1.7220650005368789</v>
      </c>
      <c r="L17" s="67">
        <f t="shared" si="4"/>
        <v>78706.356238335487</v>
      </c>
      <c r="M17" s="30">
        <f t="shared" si="5"/>
        <v>0.20953495047796578</v>
      </c>
    </row>
    <row r="18" spans="1:13" ht="25.5" x14ac:dyDescent="0.2">
      <c r="A18" s="60" t="s">
        <v>17</v>
      </c>
      <c r="B18" s="68" t="s">
        <v>32</v>
      </c>
      <c r="C18" s="63">
        <v>439299.84000000003</v>
      </c>
      <c r="D18" s="64">
        <v>0.97460000000000002</v>
      </c>
      <c r="E18" s="65">
        <f t="shared" ref="E18:E21" si="6">C18/12*10</f>
        <v>366083.2</v>
      </c>
      <c r="F18" s="65">
        <f t="shared" ref="F18:F21" si="7">E18</f>
        <v>366083.2</v>
      </c>
      <c r="G18" s="66">
        <f t="shared" si="1"/>
        <v>0.97460013204694051</v>
      </c>
      <c r="H18" s="63">
        <v>220795.34599310081</v>
      </c>
      <c r="I18" s="63">
        <f>H18/7*3</f>
        <v>94626.57685418606</v>
      </c>
      <c r="J18" s="63">
        <f t="shared" si="2"/>
        <v>315421.92284728686</v>
      </c>
      <c r="K18" s="30">
        <f t="shared" si="3"/>
        <v>0.83972782049945383</v>
      </c>
      <c r="L18" s="67">
        <f t="shared" si="4"/>
        <v>50661.277152713155</v>
      </c>
      <c r="M18" s="30">
        <f t="shared" si="5"/>
        <v>0.13487231154748669</v>
      </c>
    </row>
    <row r="19" spans="1:13" ht="38.25" x14ac:dyDescent="0.2">
      <c r="A19" s="60" t="s">
        <v>91</v>
      </c>
      <c r="B19" s="68" t="s">
        <v>33</v>
      </c>
      <c r="C19" s="63">
        <v>117194.64</v>
      </c>
      <c r="D19" s="64">
        <v>0.26</v>
      </c>
      <c r="E19" s="65">
        <f t="shared" si="6"/>
        <v>97662.2</v>
      </c>
      <c r="F19" s="65">
        <f t="shared" si="7"/>
        <v>97662.2</v>
      </c>
      <c r="G19" s="66">
        <f t="shared" si="1"/>
        <v>0.25999989351053177</v>
      </c>
      <c r="H19" s="63">
        <v>0</v>
      </c>
      <c r="I19" s="63">
        <f>(H17-2694)/7</f>
        <v>71572.771529073842</v>
      </c>
      <c r="J19" s="63">
        <f t="shared" si="2"/>
        <v>71572.771529073842</v>
      </c>
      <c r="K19" s="30">
        <f t="shared" si="3"/>
        <v>0.19054365942824164</v>
      </c>
      <c r="L19" s="67">
        <f t="shared" si="4"/>
        <v>26089.428470926156</v>
      </c>
      <c r="M19" s="30">
        <f t="shared" si="5"/>
        <v>6.9456234082290125E-2</v>
      </c>
    </row>
    <row r="20" spans="1:13" x14ac:dyDescent="0.2">
      <c r="A20" s="60" t="s">
        <v>92</v>
      </c>
      <c r="B20" s="68" t="s">
        <v>14</v>
      </c>
      <c r="C20" s="63">
        <v>6130.2</v>
      </c>
      <c r="D20" s="64">
        <v>1.3599999999999999E-2</v>
      </c>
      <c r="E20" s="65">
        <f t="shared" si="6"/>
        <v>5108.5</v>
      </c>
      <c r="F20" s="65">
        <f t="shared" si="7"/>
        <v>5108.5</v>
      </c>
      <c r="G20" s="66">
        <f t="shared" si="1"/>
        <v>1.3600036206419187E-2</v>
      </c>
      <c r="H20" s="63">
        <v>3818.3255772899993</v>
      </c>
      <c r="I20" s="63">
        <f>H20/7*3</f>
        <v>1636.4252474099994</v>
      </c>
      <c r="J20" s="63">
        <f t="shared" si="2"/>
        <v>5454.7508246999987</v>
      </c>
      <c r="K20" s="30">
        <f t="shared" si="3"/>
        <v>1.4521837860999292E-2</v>
      </c>
      <c r="L20" s="67">
        <f t="shared" si="4"/>
        <v>-346.2508246999987</v>
      </c>
      <c r="M20" s="30">
        <f t="shared" si="5"/>
        <v>-9.2180165458010527E-4</v>
      </c>
    </row>
    <row r="21" spans="1:13" x14ac:dyDescent="0.2">
      <c r="A21" s="60" t="s">
        <v>93</v>
      </c>
      <c r="B21" s="68" t="s">
        <v>15</v>
      </c>
      <c r="C21" s="63">
        <v>6941.52</v>
      </c>
      <c r="D21" s="64">
        <v>1.54E-2</v>
      </c>
      <c r="E21" s="65">
        <f t="shared" si="6"/>
        <v>5784.6</v>
      </c>
      <c r="F21" s="65">
        <f t="shared" si="7"/>
        <v>5784.6</v>
      </c>
      <c r="G21" s="66">
        <f t="shared" si="1"/>
        <v>1.5399974442527633E-2</v>
      </c>
      <c r="H21" s="63">
        <v>4372.930908675</v>
      </c>
      <c r="I21" s="63">
        <f t="shared" ref="I21:I25" si="8">H21/7*3</f>
        <v>1874.1132465749997</v>
      </c>
      <c r="J21" s="63">
        <f t="shared" si="2"/>
        <v>6247.0441552499997</v>
      </c>
      <c r="K21" s="30">
        <f t="shared" si="3"/>
        <v>1.663111024654974E-2</v>
      </c>
      <c r="L21" s="67">
        <f t="shared" si="4"/>
        <v>-462.44415524999931</v>
      </c>
      <c r="M21" s="30">
        <f t="shared" si="5"/>
        <v>-1.2311358040221071E-3</v>
      </c>
    </row>
    <row r="22" spans="1:13" ht="51" x14ac:dyDescent="0.2">
      <c r="A22" s="60" t="s">
        <v>94</v>
      </c>
      <c r="B22" s="68" t="s">
        <v>85</v>
      </c>
      <c r="C22" s="63">
        <v>486042.48</v>
      </c>
      <c r="D22" s="64">
        <v>1.0783</v>
      </c>
      <c r="E22" s="65">
        <f>E23+E24</f>
        <v>405035.4</v>
      </c>
      <c r="F22" s="65">
        <f>F23+F24</f>
        <v>394909.51500000001</v>
      </c>
      <c r="G22" s="66">
        <f t="shared" si="1"/>
        <v>1.051342605903776</v>
      </c>
      <c r="H22" s="63">
        <v>179971.31759579998</v>
      </c>
      <c r="I22" s="63">
        <f>I23+I24</f>
        <v>77130.564683914272</v>
      </c>
      <c r="J22" s="63">
        <f t="shared" si="2"/>
        <v>257101.88227971425</v>
      </c>
      <c r="K22" s="30">
        <f t="shared" si="3"/>
        <v>0.68446606787562625</v>
      </c>
      <c r="L22" s="67">
        <f t="shared" si="4"/>
        <v>137807.63272028576</v>
      </c>
      <c r="M22" s="30">
        <f t="shared" si="5"/>
        <v>0.36687653802814979</v>
      </c>
    </row>
    <row r="23" spans="1:13" x14ac:dyDescent="0.2">
      <c r="A23" s="60" t="s">
        <v>95</v>
      </c>
      <c r="B23" s="68" t="s">
        <v>86</v>
      </c>
      <c r="C23" s="63">
        <v>227402.76</v>
      </c>
      <c r="D23" s="64">
        <v>0.50449999999999995</v>
      </c>
      <c r="E23" s="65">
        <f>C23/12*10</f>
        <v>189502.3</v>
      </c>
      <c r="F23" s="65">
        <f>C23/12*9+C23/12*0.75</f>
        <v>184764.74249999999</v>
      </c>
      <c r="G23" s="66">
        <f t="shared" si="1"/>
        <v>0.49188747923455367</v>
      </c>
      <c r="H23" s="63">
        <v>51500.393206199995</v>
      </c>
      <c r="I23" s="63">
        <f t="shared" si="8"/>
        <v>22071.597088371425</v>
      </c>
      <c r="J23" s="63">
        <f t="shared" si="2"/>
        <v>73571.990294571413</v>
      </c>
      <c r="K23" s="30">
        <f t="shared" si="3"/>
        <v>0.19586605300665402</v>
      </c>
      <c r="L23" s="67">
        <f t="shared" si="4"/>
        <v>111192.75220542858</v>
      </c>
      <c r="M23" s="30">
        <f t="shared" si="5"/>
        <v>0.29602142622789962</v>
      </c>
    </row>
    <row r="24" spans="1:13" x14ac:dyDescent="0.2">
      <c r="A24" s="60" t="s">
        <v>96</v>
      </c>
      <c r="B24" s="68" t="s">
        <v>87</v>
      </c>
      <c r="C24" s="63">
        <v>258639.72</v>
      </c>
      <c r="D24" s="64">
        <v>0.57379999999999998</v>
      </c>
      <c r="E24" s="65">
        <f>C24/12*10</f>
        <v>215533.1</v>
      </c>
      <c r="F24" s="65">
        <f>C24/12*9+C24/12*0.75</f>
        <v>210144.77250000002</v>
      </c>
      <c r="G24" s="66">
        <f t="shared" si="1"/>
        <v>0.55945512666922248</v>
      </c>
      <c r="H24" s="63">
        <v>128470.9243896</v>
      </c>
      <c r="I24" s="63">
        <f t="shared" si="8"/>
        <v>55058.967595542854</v>
      </c>
      <c r="J24" s="63">
        <f t="shared" si="2"/>
        <v>183529.89198514284</v>
      </c>
      <c r="K24" s="30">
        <f t="shared" si="3"/>
        <v>0.4886000148689722</v>
      </c>
      <c r="L24" s="67">
        <f t="shared" si="4"/>
        <v>26614.880514857185</v>
      </c>
      <c r="M24" s="30">
        <f t="shared" si="5"/>
        <v>7.0855111800250281E-2</v>
      </c>
    </row>
    <row r="25" spans="1:13" x14ac:dyDescent="0.2">
      <c r="A25" s="69" t="s">
        <v>97</v>
      </c>
      <c r="B25" s="70" t="s">
        <v>20</v>
      </c>
      <c r="C25" s="71" t="s">
        <v>105</v>
      </c>
      <c r="D25" s="72">
        <v>0</v>
      </c>
      <c r="E25" s="65">
        <f t="shared" ref="E25" si="9">C25/12*10</f>
        <v>0</v>
      </c>
      <c r="F25" s="65">
        <v>0</v>
      </c>
      <c r="G25" s="66">
        <f t="shared" si="1"/>
        <v>0</v>
      </c>
      <c r="H25" s="63">
        <v>0</v>
      </c>
      <c r="I25" s="63">
        <f t="shared" si="8"/>
        <v>0</v>
      </c>
      <c r="J25" s="63">
        <f t="shared" si="2"/>
        <v>0</v>
      </c>
      <c r="K25" s="30">
        <f t="shared" si="3"/>
        <v>0</v>
      </c>
      <c r="L25" s="67">
        <f t="shared" si="4"/>
        <v>0</v>
      </c>
      <c r="M25" s="30">
        <f t="shared" si="5"/>
        <v>0</v>
      </c>
    </row>
    <row r="26" spans="1:13" ht="25.5" x14ac:dyDescent="0.2">
      <c r="A26" s="60">
        <v>3</v>
      </c>
      <c r="B26" s="68" t="s">
        <v>23</v>
      </c>
      <c r="C26" s="63">
        <v>4064672.52</v>
      </c>
      <c r="D26" s="64">
        <f>SUM(D9:D22)</f>
        <v>9.0175999999999981</v>
      </c>
      <c r="E26" s="65">
        <f>E9+E10+E11+E12+E13+E14+E15+E16+E17+E18+E19+E20+E21+E22+E25</f>
        <v>3203031.99</v>
      </c>
      <c r="F26" s="65">
        <f>F9+F10+F11+F12+F13+F14+F15+F16+F17+F18+F19+F20+F21+F22+F25</f>
        <v>2847333.6390000004</v>
      </c>
      <c r="G26" s="66">
        <f>G9+G10+G11+G12+G13+G14+G15+G16+G17+G18+G19+G20+G21+G22+G25</f>
        <v>7.5802761245287842</v>
      </c>
      <c r="H26" s="63">
        <v>1748880.4078219628</v>
      </c>
      <c r="I26" s="63">
        <f>SUM(I9:I22)</f>
        <v>741345.50483496941</v>
      </c>
      <c r="J26" s="63">
        <f t="shared" si="2"/>
        <v>2490225.9126569321</v>
      </c>
      <c r="K26" s="66">
        <f>K9+K10+K11+K12+K13+K14+K15+K16+K17+K18+K19+K20+K21+K22+K25</f>
        <v>6.629570827894204</v>
      </c>
      <c r="L26" s="67">
        <f t="shared" si="4"/>
        <v>357107.72634306829</v>
      </c>
      <c r="M26" s="30">
        <f>G26-K26</f>
        <v>0.95070529663458014</v>
      </c>
    </row>
    <row r="27" spans="1:13" ht="25.5" x14ac:dyDescent="0.2">
      <c r="A27" s="69">
        <v>4</v>
      </c>
      <c r="B27" s="62" t="s">
        <v>25</v>
      </c>
      <c r="C27" s="73">
        <v>4877606.88</v>
      </c>
      <c r="D27" s="74">
        <f>D26*1.2</f>
        <v>10.821119999999997</v>
      </c>
      <c r="E27" s="65">
        <f>E26*1.2</f>
        <v>3843638.3880000003</v>
      </c>
      <c r="F27" s="65">
        <f>F26*1.2</f>
        <v>3416800.3668000004</v>
      </c>
      <c r="G27" s="65">
        <f>G26*1.2</f>
        <v>9.096331349434541</v>
      </c>
      <c r="H27" s="71">
        <v>2098656.4893863555</v>
      </c>
      <c r="I27" s="71">
        <f>I26*1.2</f>
        <v>889614.60580196325</v>
      </c>
      <c r="J27" s="71">
        <f>H27+I27</f>
        <v>2988271.0951883188</v>
      </c>
      <c r="K27" s="65">
        <f>K26*1.2</f>
        <v>7.9554849934730445</v>
      </c>
      <c r="L27" s="71">
        <f t="shared" si="4"/>
        <v>428529.27161168167</v>
      </c>
      <c r="M27" s="65">
        <f>G27-K27</f>
        <v>1.1408463559614965</v>
      </c>
    </row>
    <row r="29" spans="1:13" x14ac:dyDescent="0.2">
      <c r="C29" s="75"/>
      <c r="D29" s="76"/>
      <c r="E29" s="77"/>
    </row>
    <row r="30" spans="1:13" x14ac:dyDescent="0.2">
      <c r="C30" s="111" t="s">
        <v>109</v>
      </c>
      <c r="D30" s="111"/>
      <c r="E30" s="52" t="s">
        <v>110</v>
      </c>
    </row>
    <row r="31" spans="1:13" x14ac:dyDescent="0.2">
      <c r="C31" s="102"/>
      <c r="D31" s="102"/>
      <c r="E31" s="77"/>
    </row>
  </sheetData>
  <mergeCells count="10">
    <mergeCell ref="C31:D31"/>
    <mergeCell ref="A1:M1"/>
    <mergeCell ref="A2:M2"/>
    <mergeCell ref="A3:M3"/>
    <mergeCell ref="A5:A6"/>
    <mergeCell ref="B5:B6"/>
    <mergeCell ref="H5:K5"/>
    <mergeCell ref="L5:M5"/>
    <mergeCell ref="C5:F5"/>
    <mergeCell ref="C30:D30"/>
  </mergeCells>
  <pageMargins left="0.51181102362204722" right="0.51181102362204722" top="0.35433070866141736" bottom="0.55118110236220474" header="0.31496062992125984" footer="0.31496062992125984"/>
  <pageSetup paperSize="9" scale="41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9"/>
  <sheetViews>
    <sheetView view="pageBreakPreview" zoomScaleNormal="100" zoomScaleSheetLayoutView="100" workbookViewId="0">
      <selection activeCell="B21" sqref="B21"/>
    </sheetView>
  </sheetViews>
  <sheetFormatPr defaultRowHeight="15" x14ac:dyDescent="0.25"/>
  <cols>
    <col min="1" max="1" width="11" customWidth="1"/>
    <col min="2" max="2" width="66.5703125" customWidth="1"/>
    <col min="3" max="3" width="19.85546875" customWidth="1"/>
    <col min="4" max="4" width="36" customWidth="1"/>
    <col min="5" max="5" width="9.5703125" bestFit="1" customWidth="1"/>
  </cols>
  <sheetData>
    <row r="1" spans="1:6" x14ac:dyDescent="0.25">
      <c r="A1" s="112" t="s">
        <v>26</v>
      </c>
      <c r="B1" s="112"/>
      <c r="C1" s="112"/>
      <c r="D1" s="112"/>
    </row>
    <row r="2" spans="1:6" x14ac:dyDescent="0.25">
      <c r="A2" s="112" t="s">
        <v>27</v>
      </c>
      <c r="B2" s="112"/>
      <c r="C2" s="112"/>
      <c r="D2" s="112"/>
    </row>
    <row r="3" spans="1:6" ht="47.25" customHeight="1" x14ac:dyDescent="0.25">
      <c r="A3" s="8" t="s">
        <v>0</v>
      </c>
      <c r="B3" s="8" t="s">
        <v>1</v>
      </c>
      <c r="C3" s="8" t="s">
        <v>2</v>
      </c>
      <c r="D3" s="14" t="s">
        <v>3</v>
      </c>
    </row>
    <row r="4" spans="1:6" x14ac:dyDescent="0.25">
      <c r="A4" s="4" t="s">
        <v>4</v>
      </c>
      <c r="B4" s="1" t="s">
        <v>5</v>
      </c>
      <c r="C4" s="9"/>
      <c r="D4" s="10"/>
      <c r="F4">
        <v>4292.3</v>
      </c>
    </row>
    <row r="5" spans="1:6" ht="38.25" x14ac:dyDescent="0.25">
      <c r="A5" s="5" t="s">
        <v>6</v>
      </c>
      <c r="B5" s="15" t="s">
        <v>28</v>
      </c>
      <c r="C5" s="7">
        <f>0.9129*12*4292.3</f>
        <v>47021.288040000007</v>
      </c>
      <c r="D5" s="11">
        <v>0.91290000000000004</v>
      </c>
    </row>
    <row r="6" spans="1:6" ht="21" customHeight="1" x14ac:dyDescent="0.25">
      <c r="A6" s="5" t="s">
        <v>7</v>
      </c>
      <c r="B6" s="15" t="s">
        <v>29</v>
      </c>
      <c r="C6" s="7">
        <f>0.1188*12*4292.3</f>
        <v>6119.1028800000004</v>
      </c>
      <c r="D6" s="11">
        <v>0.1188</v>
      </c>
    </row>
    <row r="7" spans="1:6" ht="51.75" customHeight="1" x14ac:dyDescent="0.25">
      <c r="A7" s="5" t="s">
        <v>8</v>
      </c>
      <c r="B7" s="15" t="s">
        <v>30</v>
      </c>
      <c r="C7" s="7">
        <f>1.6693*12*4292.3</f>
        <v>85981.636680000011</v>
      </c>
      <c r="D7" s="11">
        <v>1.6693</v>
      </c>
    </row>
    <row r="8" spans="1:6" ht="36.75" customHeight="1" x14ac:dyDescent="0.25">
      <c r="A8" s="5" t="s">
        <v>9</v>
      </c>
      <c r="B8" s="15" t="s">
        <v>35</v>
      </c>
      <c r="C8" s="7">
        <f>0.7375*12*4292.3</f>
        <v>37986.85500000001</v>
      </c>
      <c r="D8" s="11">
        <v>0.73750000000000004</v>
      </c>
    </row>
    <row r="9" spans="1:6" ht="19.5" customHeight="1" x14ac:dyDescent="0.25">
      <c r="A9" s="5" t="s">
        <v>10</v>
      </c>
      <c r="B9" s="2" t="s">
        <v>31</v>
      </c>
      <c r="C9" s="6">
        <f>3.0025*12*4292.3</f>
        <v>154651.56900000002</v>
      </c>
      <c r="D9" s="4">
        <v>3.0024999999999999</v>
      </c>
    </row>
    <row r="10" spans="1:6" ht="19.5" customHeight="1" x14ac:dyDescent="0.25">
      <c r="A10" s="5" t="s">
        <v>11</v>
      </c>
      <c r="B10" s="2" t="s">
        <v>32</v>
      </c>
      <c r="C10" s="6">
        <f>0.354*12*4292.3</f>
        <v>18233.690399999999</v>
      </c>
      <c r="D10" s="12">
        <v>0.35399999999999998</v>
      </c>
    </row>
    <row r="11" spans="1:6" ht="32.25" customHeight="1" x14ac:dyDescent="0.25">
      <c r="A11" s="5" t="s">
        <v>12</v>
      </c>
      <c r="B11" s="2" t="s">
        <v>33</v>
      </c>
      <c r="C11" s="7">
        <f>0.4293*12*4292.3</f>
        <v>22112.212680000001</v>
      </c>
      <c r="D11" s="11">
        <v>0.42930000000000001</v>
      </c>
    </row>
    <row r="12" spans="1:6" ht="17.25" customHeight="1" x14ac:dyDescent="0.25">
      <c r="A12" s="5" t="s">
        <v>13</v>
      </c>
      <c r="B12" s="2" t="s">
        <v>14</v>
      </c>
      <c r="C12" s="7">
        <f>0.0063*12*4292.3</f>
        <v>324.49788000000001</v>
      </c>
      <c r="D12" s="12">
        <v>6.3E-3</v>
      </c>
    </row>
    <row r="13" spans="1:6" x14ac:dyDescent="0.25">
      <c r="A13" s="5" t="s">
        <v>16</v>
      </c>
      <c r="B13" s="2" t="s">
        <v>15</v>
      </c>
      <c r="C13" s="7">
        <f>0.0072*12*4292.3</f>
        <v>370.85472000000004</v>
      </c>
      <c r="D13" s="12">
        <v>7.1999999999999998E-3</v>
      </c>
    </row>
    <row r="14" spans="1:6" ht="25.5" x14ac:dyDescent="0.25">
      <c r="A14" s="5" t="s">
        <v>17</v>
      </c>
      <c r="B14" s="3" t="s">
        <v>34</v>
      </c>
      <c r="C14" s="7">
        <f>0.4031*12*4292.3</f>
        <v>20762.71356</v>
      </c>
      <c r="D14" s="11">
        <f>0.4031</f>
        <v>0.40310000000000001</v>
      </c>
    </row>
    <row r="15" spans="1:6" x14ac:dyDescent="0.25">
      <c r="A15" s="5" t="s">
        <v>19</v>
      </c>
      <c r="B15" s="3" t="s">
        <v>20</v>
      </c>
      <c r="C15" s="9"/>
      <c r="D15" s="9"/>
    </row>
    <row r="16" spans="1:6" ht="21.75" customHeight="1" x14ac:dyDescent="0.25">
      <c r="A16" s="5" t="s">
        <v>21</v>
      </c>
      <c r="B16" s="2" t="s">
        <v>18</v>
      </c>
      <c r="C16" s="7">
        <f>0.3095*12*4292.3</f>
        <v>15941.602200000001</v>
      </c>
      <c r="D16" s="11">
        <v>0.3095</v>
      </c>
    </row>
    <row r="17" spans="1:5" ht="52.5" customHeight="1" x14ac:dyDescent="0.25">
      <c r="A17" s="5" t="s">
        <v>36</v>
      </c>
      <c r="B17" s="2" t="s">
        <v>37</v>
      </c>
      <c r="C17" s="7"/>
      <c r="D17" s="18" t="s">
        <v>38</v>
      </c>
    </row>
    <row r="18" spans="1:5" ht="25.5" customHeight="1" x14ac:dyDescent="0.25">
      <c r="A18" s="5" t="s">
        <v>22</v>
      </c>
      <c r="B18" s="13" t="s">
        <v>39</v>
      </c>
      <c r="C18" s="7">
        <f>SUM(C5:C16)</f>
        <v>409506.02304000006</v>
      </c>
      <c r="D18" s="16">
        <f>SUM(D5:D16)</f>
        <v>7.9504000000000019</v>
      </c>
      <c r="E18">
        <f>C18*1.2</f>
        <v>491407.22764800006</v>
      </c>
    </row>
    <row r="19" spans="1:5" ht="30" customHeight="1" x14ac:dyDescent="0.25">
      <c r="A19" s="5" t="s">
        <v>24</v>
      </c>
      <c r="B19" s="13" t="s">
        <v>40</v>
      </c>
      <c r="C19" s="7">
        <f>D19*12*4292.3</f>
        <v>491407.22764800012</v>
      </c>
      <c r="D19" s="7">
        <f>D18*1.2</f>
        <v>9.5404800000000023</v>
      </c>
      <c r="E19" s="17">
        <f>D19*4292.3*12</f>
        <v>491407.22764800017</v>
      </c>
    </row>
  </sheetData>
  <mergeCells count="2">
    <mergeCell ref="A1:D1"/>
    <mergeCell ref="A2:D2"/>
  </mergeCells>
  <pageMargins left="0.70866141732283472" right="0.70866141732283472" top="0.74803149606299213" bottom="0.74803149606299213" header="0.31496062992125984" footer="0.31496062992125984"/>
  <pageSetup paperSize="9" scale="97" orientation="landscape" r:id="rId1"/>
  <rowBreaks count="1" manualBreakCount="1">
    <brk id="19" max="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view="pageBreakPreview" zoomScaleNormal="100" zoomScaleSheetLayoutView="100" workbookViewId="0">
      <selection activeCell="E18" sqref="E18"/>
    </sheetView>
  </sheetViews>
  <sheetFormatPr defaultRowHeight="15" x14ac:dyDescent="0.25"/>
  <cols>
    <col min="1" max="1" width="11" customWidth="1"/>
    <col min="2" max="2" width="66.5703125" customWidth="1"/>
    <col min="3" max="3" width="19.85546875" customWidth="1"/>
    <col min="4" max="4" width="36" customWidth="1"/>
    <col min="5" max="5" width="9.5703125" bestFit="1" customWidth="1"/>
  </cols>
  <sheetData>
    <row r="1" spans="1:6" x14ac:dyDescent="0.25">
      <c r="A1" s="112" t="s">
        <v>26</v>
      </c>
      <c r="B1" s="112"/>
      <c r="C1" s="112"/>
      <c r="D1" s="112"/>
    </row>
    <row r="2" spans="1:6" x14ac:dyDescent="0.25">
      <c r="A2" s="112" t="s">
        <v>27</v>
      </c>
      <c r="B2" s="112"/>
      <c r="C2" s="112"/>
      <c r="D2" s="112"/>
    </row>
    <row r="3" spans="1:6" ht="47.25" customHeight="1" x14ac:dyDescent="0.25">
      <c r="A3" s="8" t="s">
        <v>0</v>
      </c>
      <c r="B3" s="8" t="s">
        <v>1</v>
      </c>
      <c r="C3" s="8" t="s">
        <v>2</v>
      </c>
      <c r="D3" s="14" t="s">
        <v>3</v>
      </c>
    </row>
    <row r="4" spans="1:6" x14ac:dyDescent="0.25">
      <c r="A4" s="4" t="s">
        <v>4</v>
      </c>
      <c r="B4" s="1" t="s">
        <v>5</v>
      </c>
      <c r="C4" s="9"/>
      <c r="D4" s="10"/>
      <c r="F4">
        <v>4292.3</v>
      </c>
    </row>
    <row r="5" spans="1:6" ht="38.25" x14ac:dyDescent="0.25">
      <c r="A5" s="5" t="s">
        <v>6</v>
      </c>
      <c r="B5" s="15" t="s">
        <v>28</v>
      </c>
      <c r="C5" s="7">
        <f>0.9129*12*4292.3</f>
        <v>47021.288040000007</v>
      </c>
      <c r="D5" s="11">
        <v>0.91290000000000004</v>
      </c>
    </row>
    <row r="6" spans="1:6" ht="21" customHeight="1" x14ac:dyDescent="0.25">
      <c r="A6" s="5" t="s">
        <v>7</v>
      </c>
      <c r="B6" s="15" t="s">
        <v>29</v>
      </c>
      <c r="C6" s="7">
        <f>0.1188*12*4292.3</f>
        <v>6119.1028800000004</v>
      </c>
      <c r="D6" s="11">
        <v>0.1188</v>
      </c>
    </row>
    <row r="7" spans="1:6" ht="51.75" customHeight="1" x14ac:dyDescent="0.25">
      <c r="A7" s="5" t="s">
        <v>8</v>
      </c>
      <c r="B7" s="15" t="s">
        <v>30</v>
      </c>
      <c r="C7" s="7">
        <f>1.6693*12*4292.3</f>
        <v>85981.636680000011</v>
      </c>
      <c r="D7" s="11">
        <v>1.6693</v>
      </c>
    </row>
    <row r="8" spans="1:6" ht="36.75" customHeight="1" x14ac:dyDescent="0.25">
      <c r="A8" s="5" t="s">
        <v>9</v>
      </c>
      <c r="B8" s="15" t="s">
        <v>35</v>
      </c>
      <c r="C8" s="7">
        <f>0.7375*12*4292.3</f>
        <v>37986.85500000001</v>
      </c>
      <c r="D8" s="11">
        <v>0.73750000000000004</v>
      </c>
    </row>
    <row r="9" spans="1:6" ht="19.5" customHeight="1" x14ac:dyDescent="0.25">
      <c r="A9" s="5" t="s">
        <v>10</v>
      </c>
      <c r="B9" s="2" t="s">
        <v>31</v>
      </c>
      <c r="C9" s="6">
        <f>3.0025*12*4292.3</f>
        <v>154651.56900000002</v>
      </c>
      <c r="D9" s="4">
        <v>3.0024999999999999</v>
      </c>
    </row>
    <row r="10" spans="1:6" ht="19.5" customHeight="1" x14ac:dyDescent="0.25">
      <c r="A10" s="5" t="s">
        <v>11</v>
      </c>
      <c r="B10" s="2" t="s">
        <v>32</v>
      </c>
      <c r="C10" s="6">
        <f>0.354*12*4292.3</f>
        <v>18233.690399999999</v>
      </c>
      <c r="D10" s="12">
        <v>0.35399999999999998</v>
      </c>
    </row>
    <row r="11" spans="1:6" ht="32.25" customHeight="1" x14ac:dyDescent="0.25">
      <c r="A11" s="5" t="s">
        <v>12</v>
      </c>
      <c r="B11" s="2" t="s">
        <v>33</v>
      </c>
      <c r="C11" s="7">
        <f>0.4293*12*4292.3</f>
        <v>22112.212680000001</v>
      </c>
      <c r="D11" s="11">
        <v>0.42930000000000001</v>
      </c>
    </row>
    <row r="12" spans="1:6" ht="17.25" customHeight="1" x14ac:dyDescent="0.25">
      <c r="A12" s="5" t="s">
        <v>13</v>
      </c>
      <c r="B12" s="2" t="s">
        <v>14</v>
      </c>
      <c r="C12" s="7">
        <f>0.0063*12*4292.3</f>
        <v>324.49788000000001</v>
      </c>
      <c r="D12" s="12">
        <v>6.3E-3</v>
      </c>
    </row>
    <row r="13" spans="1:6" x14ac:dyDescent="0.25">
      <c r="A13" s="5" t="s">
        <v>16</v>
      </c>
      <c r="B13" s="2" t="s">
        <v>15</v>
      </c>
      <c r="C13" s="7">
        <f>0.0072*12*4292.3</f>
        <v>370.85472000000004</v>
      </c>
      <c r="D13" s="12">
        <v>7.1999999999999998E-3</v>
      </c>
    </row>
    <row r="14" spans="1:6" ht="25.5" x14ac:dyDescent="0.25">
      <c r="A14" s="5" t="s">
        <v>17</v>
      </c>
      <c r="B14" s="3" t="s">
        <v>34</v>
      </c>
      <c r="C14" s="7">
        <f>0.4031*12*4292.3</f>
        <v>20762.71356</v>
      </c>
      <c r="D14" s="11">
        <f>0.4031</f>
        <v>0.40310000000000001</v>
      </c>
    </row>
    <row r="15" spans="1:6" x14ac:dyDescent="0.25">
      <c r="A15" s="5" t="s">
        <v>19</v>
      </c>
      <c r="B15" s="3" t="s">
        <v>20</v>
      </c>
      <c r="C15" s="9"/>
      <c r="D15" s="9"/>
    </row>
    <row r="16" spans="1:6" ht="21.75" customHeight="1" x14ac:dyDescent="0.25">
      <c r="A16" s="5" t="s">
        <v>21</v>
      </c>
      <c r="B16" s="2" t="s">
        <v>18</v>
      </c>
      <c r="C16" s="7">
        <f>0.3095*12*4292.3</f>
        <v>15941.602200000001</v>
      </c>
      <c r="D16" s="11">
        <v>0.3095</v>
      </c>
    </row>
    <row r="17" spans="1:5" ht="21.75" customHeight="1" x14ac:dyDescent="0.25">
      <c r="A17" s="5" t="s">
        <v>22</v>
      </c>
      <c r="B17" s="13" t="s">
        <v>23</v>
      </c>
      <c r="C17" s="7">
        <f>SUM(C5:C16)</f>
        <v>409506.02304000006</v>
      </c>
      <c r="D17" s="16">
        <f>SUM(D5:D16)</f>
        <v>7.9504000000000019</v>
      </c>
    </row>
    <row r="18" spans="1:5" ht="21" customHeight="1" x14ac:dyDescent="0.25">
      <c r="A18" s="5" t="s">
        <v>24</v>
      </c>
      <c r="B18" s="13" t="s">
        <v>25</v>
      </c>
      <c r="C18" s="7">
        <f>D18*12*4292.3</f>
        <v>491407.22764800012</v>
      </c>
      <c r="D18" s="7">
        <f>D17*1.2</f>
        <v>9.5404800000000023</v>
      </c>
      <c r="E18" s="17">
        <f>D18*4292.3*12</f>
        <v>491407.22764800017</v>
      </c>
    </row>
  </sheetData>
  <mergeCells count="2">
    <mergeCell ref="A1:D1"/>
    <mergeCell ref="A2:D2"/>
  </mergeCells>
  <pageMargins left="0.70866141732283472" right="0.70866141732283472" top="0.74803149606299213" bottom="0.74803149606299213" header="0.31496062992125984" footer="0.31496062992125984"/>
  <pageSetup paperSize="9" scale="9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4</vt:i4>
      </vt:variant>
    </vt:vector>
  </HeadingPairs>
  <TitlesOfParts>
    <vt:vector size="8" baseType="lpstr">
      <vt:lpstr>вар. 1. cнег 0,1749</vt:lpstr>
      <vt:lpstr>01.01.2026</vt:lpstr>
      <vt:lpstr>вар.2</vt:lpstr>
      <vt:lpstr>вар.1</vt:lpstr>
      <vt:lpstr>'01.01.2026'!Область_печати</vt:lpstr>
      <vt:lpstr>'вар. 1. cнег 0,1749'!Область_печати</vt:lpstr>
      <vt:lpstr>вар.1!Область_печати</vt:lpstr>
      <vt:lpstr>вар.2!Область_печати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Ira</cp:lastModifiedBy>
  <cp:lastPrinted>2021-11-29T15:19:33Z</cp:lastPrinted>
  <dcterms:created xsi:type="dcterms:W3CDTF">2021-02-08T11:49:31Z</dcterms:created>
  <dcterms:modified xsi:type="dcterms:W3CDTF">2026-02-16T09:17:09Z</dcterms:modified>
</cp:coreProperties>
</file>