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КОНТРОЛІ\2026\КОНТРОЛЬ по заробітні плати на відповідь на запит\"/>
    </mc:Choice>
  </mc:AlternateContent>
  <bookViews>
    <workbookView xWindow="0" yWindow="0" windowWidth="23040" windowHeight="8808"/>
  </bookViews>
  <sheets>
    <sheet name="Аркуш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2" i="1" l="1"/>
  <c r="H32" i="1"/>
  <c r="F32" i="1"/>
  <c r="D32" i="1"/>
  <c r="F31" i="1"/>
  <c r="D31" i="1"/>
  <c r="J30" i="1"/>
  <c r="H30" i="1"/>
  <c r="F30" i="1"/>
  <c r="D30" i="1"/>
  <c r="Z29" i="1"/>
  <c r="X29" i="1"/>
  <c r="V29" i="1"/>
  <c r="T29" i="1"/>
  <c r="R29" i="1"/>
  <c r="P29" i="1"/>
  <c r="N29" i="1"/>
  <c r="L29" i="1"/>
  <c r="J29" i="1"/>
  <c r="I29" i="1"/>
  <c r="H29" i="1"/>
  <c r="F29" i="1"/>
  <c r="D29" i="1"/>
  <c r="Z28" i="1"/>
  <c r="X28" i="1"/>
  <c r="V28" i="1"/>
  <c r="T28" i="1"/>
  <c r="R28" i="1"/>
  <c r="R33" i="1" s="1"/>
  <c r="P28" i="1"/>
  <c r="N28" i="1"/>
  <c r="L28" i="1"/>
  <c r="K28" i="1"/>
  <c r="J28" i="1"/>
  <c r="H28" i="1"/>
  <c r="F28" i="1"/>
  <c r="D28" i="1"/>
  <c r="Z27" i="1"/>
  <c r="X27" i="1"/>
  <c r="V27" i="1"/>
  <c r="T27" i="1"/>
  <c r="R27" i="1"/>
  <c r="P27" i="1"/>
  <c r="N27" i="1"/>
  <c r="L27" i="1"/>
  <c r="J27" i="1"/>
  <c r="H27" i="1"/>
  <c r="F27" i="1"/>
  <c r="D27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S33" i="1"/>
  <c r="T33" i="1"/>
  <c r="U33" i="1"/>
  <c r="V33" i="1"/>
  <c r="W33" i="1"/>
  <c r="X33" i="1"/>
  <c r="Y33" i="1"/>
  <c r="Z33" i="1"/>
  <c r="C33" i="1"/>
  <c r="Z26" i="1"/>
  <c r="X26" i="1"/>
  <c r="V26" i="1"/>
  <c r="T26" i="1"/>
  <c r="R26" i="1"/>
  <c r="P26" i="1"/>
  <c r="N26" i="1"/>
  <c r="L26" i="1"/>
  <c r="J26" i="1"/>
  <c r="H26" i="1"/>
  <c r="F26" i="1"/>
  <c r="D26" i="1"/>
  <c r="Z25" i="1"/>
  <c r="X25" i="1"/>
  <c r="V25" i="1"/>
  <c r="T25" i="1"/>
  <c r="R25" i="1"/>
  <c r="Q25" i="1"/>
  <c r="P25" i="1"/>
  <c r="N25" i="1"/>
  <c r="L25" i="1"/>
  <c r="J25" i="1"/>
  <c r="H25" i="1"/>
  <c r="F25" i="1"/>
  <c r="D25" i="1"/>
  <c r="Z24" i="1"/>
  <c r="Y24" i="1"/>
  <c r="X24" i="1"/>
  <c r="V24" i="1"/>
  <c r="T24" i="1"/>
  <c r="Z23" i="1"/>
  <c r="X23" i="1"/>
  <c r="V23" i="1"/>
  <c r="T23" i="1"/>
  <c r="R23" i="1"/>
  <c r="P23" i="1"/>
  <c r="N23" i="1"/>
  <c r="L23" i="1"/>
  <c r="J23" i="1"/>
  <c r="H23" i="1"/>
  <c r="F23" i="1"/>
  <c r="D23" i="1"/>
  <c r="Z22" i="1"/>
  <c r="X22" i="1"/>
  <c r="V22" i="1"/>
  <c r="T22" i="1"/>
  <c r="R22" i="1"/>
  <c r="P22" i="1"/>
  <c r="N22" i="1"/>
  <c r="L22" i="1"/>
  <c r="J22" i="1"/>
  <c r="I22" i="1"/>
  <c r="H22" i="1"/>
  <c r="F22" i="1"/>
  <c r="E22" i="1"/>
  <c r="D22" i="1"/>
  <c r="Z21" i="1"/>
  <c r="Y21" i="1"/>
  <c r="X21" i="1"/>
  <c r="V21" i="1"/>
  <c r="T21" i="1"/>
  <c r="Z20" i="1"/>
  <c r="X20" i="1"/>
  <c r="V20" i="1"/>
  <c r="T20" i="1"/>
  <c r="R20" i="1"/>
  <c r="P20" i="1"/>
  <c r="N20" i="1"/>
  <c r="L20" i="1"/>
  <c r="J20" i="1"/>
  <c r="H20" i="1"/>
  <c r="F20" i="1"/>
  <c r="D20" i="1"/>
  <c r="Z19" i="1"/>
  <c r="Y19" i="1"/>
  <c r="X19" i="1"/>
  <c r="V19" i="1"/>
  <c r="T19" i="1"/>
  <c r="R19" i="1"/>
  <c r="P19" i="1"/>
  <c r="N19" i="1"/>
  <c r="L19" i="1"/>
  <c r="J19" i="1"/>
  <c r="H19" i="1"/>
  <c r="F19" i="1"/>
  <c r="D19" i="1"/>
  <c r="Z18" i="1"/>
  <c r="X18" i="1"/>
  <c r="W18" i="1"/>
  <c r="V18" i="1"/>
  <c r="T18" i="1"/>
  <c r="R18" i="1"/>
  <c r="P18" i="1"/>
  <c r="N18" i="1"/>
  <c r="L18" i="1"/>
  <c r="J18" i="1"/>
  <c r="H18" i="1"/>
  <c r="F18" i="1"/>
  <c r="D18" i="1"/>
  <c r="Z17" i="1"/>
  <c r="X17" i="1"/>
  <c r="V17" i="1"/>
  <c r="T17" i="1"/>
  <c r="R17" i="1"/>
  <c r="P17" i="1"/>
  <c r="Z16" i="1"/>
  <c r="X16" i="1"/>
  <c r="V16" i="1"/>
  <c r="T16" i="1"/>
  <c r="Z15" i="1"/>
  <c r="Z14" i="1"/>
  <c r="X14" i="1"/>
  <c r="V14" i="1"/>
  <c r="T14" i="1"/>
  <c r="Z13" i="1"/>
  <c r="X13" i="1"/>
  <c r="V13" i="1"/>
  <c r="T13" i="1"/>
  <c r="R13" i="1"/>
  <c r="P13" i="1"/>
  <c r="N13" i="1"/>
  <c r="L13" i="1"/>
  <c r="J13" i="1"/>
  <c r="H13" i="1"/>
  <c r="F12" i="1"/>
  <c r="F13" i="1"/>
  <c r="D13" i="1"/>
  <c r="Z12" i="1"/>
  <c r="X12" i="1"/>
  <c r="V12" i="1"/>
  <c r="T12" i="1"/>
  <c r="R12" i="1"/>
  <c r="P12" i="1"/>
  <c r="N12" i="1"/>
  <c r="M12" i="1"/>
  <c r="L12" i="1"/>
  <c r="J12" i="1"/>
  <c r="H12" i="1"/>
  <c r="D12" i="1"/>
  <c r="T11" i="1"/>
  <c r="R11" i="1"/>
  <c r="P11" i="1"/>
  <c r="N11" i="1"/>
  <c r="L11" i="1"/>
  <c r="J11" i="1"/>
  <c r="H11" i="1"/>
  <c r="F11" i="1"/>
  <c r="D11" i="1"/>
  <c r="Z10" i="1"/>
  <c r="X10" i="1"/>
  <c r="V10" i="1"/>
  <c r="T10" i="1"/>
  <c r="R10" i="1"/>
  <c r="P10" i="1"/>
  <c r="N10" i="1"/>
  <c r="L10" i="1"/>
  <c r="J10" i="1"/>
  <c r="H10" i="1"/>
  <c r="F10" i="1"/>
  <c r="D10" i="1"/>
  <c r="Z9" i="1"/>
  <c r="X9" i="1"/>
  <c r="V9" i="1"/>
  <c r="T9" i="1"/>
  <c r="R9" i="1"/>
  <c r="P9" i="1"/>
  <c r="N9" i="1"/>
  <c r="L9" i="1"/>
  <c r="J9" i="1"/>
  <c r="H9" i="1"/>
  <c r="F9" i="1"/>
  <c r="D9" i="1"/>
  <c r="Z8" i="1"/>
  <c r="X8" i="1"/>
  <c r="V8" i="1"/>
  <c r="T8" i="1"/>
  <c r="R8" i="1"/>
  <c r="P8" i="1"/>
  <c r="N8" i="1"/>
  <c r="L8" i="1"/>
  <c r="J8" i="1"/>
  <c r="H8" i="1"/>
  <c r="F8" i="1"/>
  <c r="D8" i="1"/>
  <c r="Z7" i="1"/>
  <c r="X7" i="1"/>
  <c r="V7" i="1"/>
  <c r="T7" i="1"/>
  <c r="R7" i="1"/>
  <c r="P7" i="1"/>
  <c r="N7" i="1"/>
  <c r="L7" i="1"/>
  <c r="J7" i="1"/>
  <c r="H7" i="1"/>
  <c r="F7" i="1"/>
  <c r="D7" i="1"/>
  <c r="Z6" i="1"/>
  <c r="X6" i="1"/>
  <c r="V6" i="1"/>
  <c r="T6" i="1"/>
  <c r="R6" i="1"/>
  <c r="P6" i="1"/>
  <c r="L6" i="1"/>
  <c r="N6" i="1"/>
  <c r="J6" i="1"/>
  <c r="H6" i="1"/>
  <c r="F6" i="1"/>
  <c r="D6" i="1"/>
</calcChain>
</file>

<file path=xl/sharedStrings.xml><?xml version="1.0" encoding="utf-8"?>
<sst xmlns="http://schemas.openxmlformats.org/spreadsheetml/2006/main" count="93" uniqueCount="31">
  <si>
    <t>Назва посади</t>
  </si>
  <si>
    <t>Січень</t>
  </si>
  <si>
    <t>Нараховано</t>
  </si>
  <si>
    <t>Виплачено</t>
  </si>
  <si>
    <t>Лютий</t>
  </si>
  <si>
    <t>Березень</t>
  </si>
  <si>
    <t>Квітень</t>
  </si>
  <si>
    <t>Травень</t>
  </si>
  <si>
    <t>Червень</t>
  </si>
  <si>
    <t>Липень</t>
  </si>
  <si>
    <t>Сепрень</t>
  </si>
  <si>
    <t>Вересень</t>
  </si>
  <si>
    <t>Жовтень</t>
  </si>
  <si>
    <t>Головний спеціаліст</t>
  </si>
  <si>
    <t>Листопад</t>
  </si>
  <si>
    <t>Грудень</t>
  </si>
  <si>
    <t>Інформація щодо нарахованої та виплаченої заробітної плати працівників департаменту економічного розвитку ТОВА за 2025 рік</t>
  </si>
  <si>
    <t>Директор департаменту</t>
  </si>
  <si>
    <t>Заступник директора департ аменту- начальник управління</t>
  </si>
  <si>
    <t>Начальник відділу -головний бухгалтер</t>
  </si>
  <si>
    <t>Заступник начальника управління - начальник відділу</t>
  </si>
  <si>
    <t>Начальник відділу</t>
  </si>
  <si>
    <t>Провідний інспектор</t>
  </si>
  <si>
    <t>ВСЬОГО</t>
  </si>
  <si>
    <t>1-II-2</t>
  </si>
  <si>
    <t>26-V-2</t>
  </si>
  <si>
    <t>9-IV-2</t>
  </si>
  <si>
    <t>9-VI-2</t>
  </si>
  <si>
    <t>9-VII-2</t>
  </si>
  <si>
    <t>12-VII-2</t>
  </si>
  <si>
    <t>Класифікаційний код посади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</si>
</sst>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2" fillId="0" borderId="1" xfId="0" applyFont="1" applyBorder="1"/>
    <xf numFmtId="0" fontId="3" fillId="0" borderId="0" xfId="0" applyFont="1"/>
    <xf numFmtId="0" fontId="5" fillId="0" borderId="0" xfId="0" applyFont="1"/>
    <xf numFmtId="0" fontId="0" fillId="0" borderId="0" xfId="0" applyFont="1"/>
    <xf numFmtId="0" fontId="2" fillId="0" borderId="2" xfId="0" applyFont="1" applyBorder="1"/>
    <xf numFmtId="0" fontId="2" fillId="0" borderId="5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6" fillId="0" borderId="5" xfId="0" applyFont="1" applyBorder="1"/>
    <xf numFmtId="0" fontId="6" fillId="0" borderId="6" xfId="0" applyFont="1" applyBorder="1"/>
    <xf numFmtId="0" fontId="2" fillId="0" borderId="6" xfId="0" applyFont="1" applyBorder="1" applyAlignment="1">
      <alignment horizontal="left"/>
    </xf>
    <xf numFmtId="0" fontId="2" fillId="0" borderId="6" xfId="0" applyFont="1" applyBorder="1" applyAlignment="1">
      <alignment horizontal="right"/>
    </xf>
    <xf numFmtId="0" fontId="2" fillId="0" borderId="9" xfId="0" applyFont="1" applyBorder="1"/>
    <xf numFmtId="0" fontId="2" fillId="0" borderId="10" xfId="0" applyFont="1" applyBorder="1"/>
    <xf numFmtId="0" fontId="2" fillId="0" borderId="0" xfId="0" applyFont="1"/>
    <xf numFmtId="2" fontId="2" fillId="0" borderId="5" xfId="0" applyNumberFormat="1" applyFont="1" applyBorder="1"/>
    <xf numFmtId="2" fontId="2" fillId="0" borderId="6" xfId="0" applyNumberFormat="1" applyFont="1" applyBorder="1"/>
    <xf numFmtId="0" fontId="7" fillId="0" borderId="0" xfId="0" applyFont="1"/>
    <xf numFmtId="0" fontId="4" fillId="0" borderId="1" xfId="0" applyFont="1" applyBorder="1"/>
    <xf numFmtId="0" fontId="2" fillId="0" borderId="11" xfId="0" applyFont="1" applyBorder="1"/>
    <xf numFmtId="0" fontId="4" fillId="0" borderId="1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13" xfId="0" applyFont="1" applyBorder="1" applyAlignment="1">
      <alignment wrapText="1"/>
    </xf>
    <xf numFmtId="0" fontId="2" fillId="0" borderId="2" xfId="0" applyFont="1" applyBorder="1" applyAlignment="1">
      <alignment wrapText="1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4" fillId="0" borderId="19" xfId="0" applyFont="1" applyBorder="1"/>
    <xf numFmtId="0" fontId="2" fillId="0" borderId="20" xfId="0" applyFont="1" applyBorder="1" applyAlignment="1">
      <alignment wrapText="1"/>
    </xf>
    <xf numFmtId="0" fontId="7" fillId="0" borderId="14" xfId="0" applyFont="1" applyBorder="1" applyAlignment="1">
      <alignment horizontal="center" wrapText="1"/>
    </xf>
    <xf numFmtId="0" fontId="7" fillId="0" borderId="15" xfId="0" applyFont="1" applyBorder="1" applyAlignment="1">
      <alignment horizontal="center" wrapText="1"/>
    </xf>
    <xf numFmtId="0" fontId="7" fillId="0" borderId="21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4" fillId="0" borderId="13" xfId="0" applyFont="1" applyBorder="1" applyAlignment="1">
      <alignment horizontal="center" vertical="top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Z33"/>
  <sheetViews>
    <sheetView tabSelected="1" topLeftCell="A22" workbookViewId="0">
      <selection activeCell="C35" sqref="C35"/>
    </sheetView>
  </sheetViews>
  <sheetFormatPr defaultRowHeight="14.4" x14ac:dyDescent="0.3"/>
  <cols>
    <col min="1" max="1" width="14.5546875" customWidth="1"/>
    <col min="2" max="2" width="17.44140625" customWidth="1"/>
    <col min="3" max="3" width="12.88671875" customWidth="1"/>
    <col min="4" max="4" width="12.33203125" customWidth="1"/>
    <col min="5" max="5" width="12.88671875" customWidth="1"/>
    <col min="6" max="6" width="12.33203125" customWidth="1"/>
    <col min="7" max="7" width="12.109375" customWidth="1"/>
    <col min="8" max="8" width="12" customWidth="1"/>
    <col min="9" max="9" width="12.109375" customWidth="1"/>
    <col min="10" max="10" width="11.88671875" customWidth="1"/>
    <col min="11" max="12" width="12.88671875" customWidth="1"/>
    <col min="13" max="13" width="12.109375" customWidth="1"/>
    <col min="14" max="14" width="12.5546875" customWidth="1"/>
    <col min="15" max="15" width="14" customWidth="1"/>
    <col min="16" max="16" width="12" customWidth="1"/>
    <col min="17" max="17" width="12.5546875" customWidth="1"/>
    <col min="18" max="18" width="12" customWidth="1"/>
    <col min="19" max="19" width="14.33203125" customWidth="1"/>
    <col min="20" max="20" width="12.5546875" customWidth="1"/>
    <col min="21" max="21" width="13.33203125" customWidth="1"/>
    <col min="22" max="22" width="12.33203125" customWidth="1"/>
    <col min="23" max="24" width="13" customWidth="1"/>
    <col min="25" max="25" width="12.6640625" customWidth="1"/>
    <col min="26" max="26" width="11.88671875" customWidth="1"/>
  </cols>
  <sheetData>
    <row r="2" spans="1:26" ht="18" x14ac:dyDescent="0.35">
      <c r="B2" s="3" t="s">
        <v>16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.600000000000001" thickBot="1" x14ac:dyDescent="0.4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4" customFormat="1" ht="15.6" x14ac:dyDescent="0.3">
      <c r="A4" s="35" t="s">
        <v>30</v>
      </c>
      <c r="B4" s="43" t="s">
        <v>0</v>
      </c>
      <c r="C4" s="41" t="s">
        <v>1</v>
      </c>
      <c r="D4" s="42"/>
      <c r="E4" s="39" t="s">
        <v>4</v>
      </c>
      <c r="F4" s="40"/>
      <c r="G4" s="39" t="s">
        <v>5</v>
      </c>
      <c r="H4" s="40"/>
      <c r="I4" s="39" t="s">
        <v>6</v>
      </c>
      <c r="J4" s="40"/>
      <c r="K4" s="39" t="s">
        <v>7</v>
      </c>
      <c r="L4" s="40"/>
      <c r="M4" s="39" t="s">
        <v>8</v>
      </c>
      <c r="N4" s="40"/>
      <c r="O4" s="39" t="s">
        <v>9</v>
      </c>
      <c r="P4" s="40"/>
      <c r="Q4" s="39" t="s">
        <v>10</v>
      </c>
      <c r="R4" s="40"/>
      <c r="S4" s="39" t="s">
        <v>11</v>
      </c>
      <c r="T4" s="40"/>
      <c r="U4" s="39" t="s">
        <v>12</v>
      </c>
      <c r="V4" s="40"/>
      <c r="W4" s="39" t="s">
        <v>14</v>
      </c>
      <c r="X4" s="40"/>
      <c r="Y4" s="39" t="s">
        <v>15</v>
      </c>
      <c r="Z4" s="40"/>
    </row>
    <row r="5" spans="1:26" s="5" customFormat="1" ht="16.2" thickBot="1" x14ac:dyDescent="0.35">
      <c r="A5" s="36"/>
      <c r="B5" s="43"/>
      <c r="C5" s="7" t="s">
        <v>2</v>
      </c>
      <c r="D5" s="8" t="s">
        <v>3</v>
      </c>
      <c r="E5" s="7" t="s">
        <v>2</v>
      </c>
      <c r="F5" s="8" t="s">
        <v>3</v>
      </c>
      <c r="G5" s="7" t="s">
        <v>2</v>
      </c>
      <c r="H5" s="8" t="s">
        <v>3</v>
      </c>
      <c r="I5" s="7" t="s">
        <v>2</v>
      </c>
      <c r="J5" s="8" t="s">
        <v>3</v>
      </c>
      <c r="K5" s="7" t="s">
        <v>2</v>
      </c>
      <c r="L5" s="8" t="s">
        <v>3</v>
      </c>
      <c r="M5" s="7" t="s">
        <v>2</v>
      </c>
      <c r="N5" s="8" t="s">
        <v>3</v>
      </c>
      <c r="O5" s="7" t="s">
        <v>2</v>
      </c>
      <c r="P5" s="8" t="s">
        <v>3</v>
      </c>
      <c r="Q5" s="7" t="s">
        <v>2</v>
      </c>
      <c r="R5" s="8" t="s">
        <v>3</v>
      </c>
      <c r="S5" s="7" t="s">
        <v>2</v>
      </c>
      <c r="T5" s="8" t="s">
        <v>3</v>
      </c>
      <c r="U5" s="7" t="s">
        <v>2</v>
      </c>
      <c r="V5" s="8" t="s">
        <v>3</v>
      </c>
      <c r="W5" s="7" t="s">
        <v>2</v>
      </c>
      <c r="X5" s="8" t="s">
        <v>3</v>
      </c>
      <c r="Y5" s="7" t="s">
        <v>2</v>
      </c>
      <c r="Z5" s="8" t="s">
        <v>3</v>
      </c>
    </row>
    <row r="6" spans="1:26" ht="31.8" thickBot="1" x14ac:dyDescent="0.35">
      <c r="A6" s="30" t="s">
        <v>24</v>
      </c>
      <c r="B6" s="28" t="s">
        <v>17</v>
      </c>
      <c r="C6" s="9">
        <v>40923.5</v>
      </c>
      <c r="D6" s="10">
        <f>20361.09+15000</f>
        <v>35361.089999999997</v>
      </c>
      <c r="E6" s="9">
        <v>90165.01</v>
      </c>
      <c r="F6" s="10">
        <f>23391.38+17411.05+28624.63</f>
        <v>69427.06</v>
      </c>
      <c r="G6" s="9">
        <v>68535.25</v>
      </c>
      <c r="H6" s="10">
        <f>20000+32772.14</f>
        <v>52772.14</v>
      </c>
      <c r="I6" s="9">
        <v>67414.399999999994</v>
      </c>
      <c r="J6" s="10">
        <f>20000+31909.09</f>
        <v>51909.09</v>
      </c>
      <c r="K6" s="9">
        <v>68635.25</v>
      </c>
      <c r="L6" s="10">
        <f>20000+32849.14</f>
        <v>52849.14</v>
      </c>
      <c r="M6" s="9">
        <v>68635.25</v>
      </c>
      <c r="N6" s="10">
        <f>20000+32849.14</f>
        <v>52849.14</v>
      </c>
      <c r="O6" s="9">
        <v>123646.68</v>
      </c>
      <c r="P6" s="10">
        <f>20000+60566.37+14641.58</f>
        <v>95207.95</v>
      </c>
      <c r="Q6" s="9">
        <v>68872.75</v>
      </c>
      <c r="R6" s="10">
        <f>20000+33032.01</f>
        <v>53032.01</v>
      </c>
      <c r="S6" s="9">
        <v>68768.479999999996</v>
      </c>
      <c r="T6" s="10">
        <f>20000+32951.73</f>
        <v>52951.73</v>
      </c>
      <c r="U6" s="9">
        <v>68768.479999999996</v>
      </c>
      <c r="V6" s="10">
        <f>20000+32951.73</f>
        <v>52951.73</v>
      </c>
      <c r="W6" s="9">
        <v>64512.31</v>
      </c>
      <c r="X6" s="10">
        <f>49674.47</f>
        <v>49674.47</v>
      </c>
      <c r="Y6" s="9">
        <v>74159.009999999995</v>
      </c>
      <c r="Z6" s="10">
        <f>20000+37102.44</f>
        <v>57102.44</v>
      </c>
    </row>
    <row r="7" spans="1:26" ht="33" customHeight="1" thickBot="1" x14ac:dyDescent="0.35">
      <c r="A7" s="30" t="s">
        <v>24</v>
      </c>
      <c r="B7" s="28" t="s">
        <v>18</v>
      </c>
      <c r="C7" s="9">
        <v>42189.5</v>
      </c>
      <c r="D7" s="10">
        <f>14000+18485.91</f>
        <v>32485.91</v>
      </c>
      <c r="E7" s="9">
        <v>83679</v>
      </c>
      <c r="F7" s="10">
        <f>14000+15973.45+34459.38</f>
        <v>64432.83</v>
      </c>
      <c r="G7" s="9">
        <v>62934.25</v>
      </c>
      <c r="H7" s="10">
        <f>18000+30459.37</f>
        <v>48459.369999999995</v>
      </c>
      <c r="I7" s="9">
        <v>63016.07</v>
      </c>
      <c r="J7" s="10">
        <f>18000+30522.38</f>
        <v>48522.380000000005</v>
      </c>
      <c r="K7" s="9">
        <v>63034.25</v>
      </c>
      <c r="L7" s="10">
        <f>18000+30536.37</f>
        <v>48536.369999999995</v>
      </c>
      <c r="M7" s="9">
        <v>112185.47</v>
      </c>
      <c r="N7" s="10">
        <f>18000+68382.82</f>
        <v>86382.82</v>
      </c>
      <c r="O7" s="9">
        <v>63034.25</v>
      </c>
      <c r="P7" s="10">
        <f>18000+30536.37</f>
        <v>48536.369999999995</v>
      </c>
      <c r="Q7" s="9">
        <v>63300.71</v>
      </c>
      <c r="R7" s="10">
        <f>18000+30741.54</f>
        <v>48741.54</v>
      </c>
      <c r="S7" s="9">
        <v>67526.7</v>
      </c>
      <c r="T7" s="10">
        <f>34562.9+17432.65</f>
        <v>51995.55</v>
      </c>
      <c r="U7" s="9">
        <v>63871.96</v>
      </c>
      <c r="V7" s="10">
        <f>18000+31181.41</f>
        <v>49181.41</v>
      </c>
      <c r="W7" s="9">
        <v>52856.480000000003</v>
      </c>
      <c r="X7" s="10">
        <f>18000+22699.49</f>
        <v>40699.490000000005</v>
      </c>
      <c r="Y7" s="9">
        <v>83859.56</v>
      </c>
      <c r="Z7" s="10">
        <f>18000+46571.86</f>
        <v>64571.86</v>
      </c>
    </row>
    <row r="8" spans="1:26" ht="33" customHeight="1" x14ac:dyDescent="0.3">
      <c r="A8" s="30" t="s">
        <v>24</v>
      </c>
      <c r="B8" s="28" t="s">
        <v>18</v>
      </c>
      <c r="C8" s="9">
        <v>41453</v>
      </c>
      <c r="D8" s="10">
        <f>12000+19918.81</f>
        <v>31918.81</v>
      </c>
      <c r="E8" s="9">
        <v>82206</v>
      </c>
      <c r="F8" s="10">
        <f>12000+15689.9+35608.72</f>
        <v>63298.62</v>
      </c>
      <c r="G8" s="9">
        <v>61829.5</v>
      </c>
      <c r="H8" s="10">
        <f>18000+29608.71</f>
        <v>47608.71</v>
      </c>
      <c r="I8" s="9">
        <v>61829.5</v>
      </c>
      <c r="J8" s="10">
        <f>18000+29608.71</f>
        <v>47608.71</v>
      </c>
      <c r="K8" s="9">
        <v>61829.5</v>
      </c>
      <c r="L8" s="10">
        <f>18000+29608.71</f>
        <v>47608.71</v>
      </c>
      <c r="M8" s="9">
        <v>64412.87</v>
      </c>
      <c r="N8" s="10">
        <f>18000+31597.91</f>
        <v>49597.91</v>
      </c>
      <c r="O8" s="9">
        <v>58702.41</v>
      </c>
      <c r="P8" s="10">
        <f>18000+20173.69+7027.17</f>
        <v>45200.86</v>
      </c>
      <c r="Q8" s="9">
        <v>63559.59</v>
      </c>
      <c r="R8" s="10">
        <f>9000+14371.56+25569.32</f>
        <v>48940.88</v>
      </c>
      <c r="S8" s="9">
        <v>63475.43</v>
      </c>
      <c r="T8" s="10">
        <f>18000+11189.18+19686.9</f>
        <v>48876.08</v>
      </c>
      <c r="U8" s="9">
        <v>110041</v>
      </c>
      <c r="V8" s="10">
        <f>18000+66731.57</f>
        <v>84731.57</v>
      </c>
      <c r="W8" s="9">
        <v>59286.71</v>
      </c>
      <c r="X8" s="10">
        <f>18000+3135.69+24515.07</f>
        <v>45650.759999999995</v>
      </c>
      <c r="Y8" s="9">
        <v>64055.199999999997</v>
      </c>
      <c r="Z8" s="10">
        <f>18000+31322.5</f>
        <v>49322.5</v>
      </c>
    </row>
    <row r="9" spans="1:26" ht="33.6" customHeight="1" x14ac:dyDescent="0.3">
      <c r="A9" s="31" t="s">
        <v>25</v>
      </c>
      <c r="B9" s="28" t="s">
        <v>19</v>
      </c>
      <c r="C9" s="9">
        <v>23703.439999999999</v>
      </c>
      <c r="D9" s="10">
        <f>7000+11251.65</f>
        <v>18251.650000000001</v>
      </c>
      <c r="E9" s="13">
        <v>45731.03</v>
      </c>
      <c r="F9" s="14">
        <f>9000+8933.32+17279.57</f>
        <v>35212.89</v>
      </c>
      <c r="G9" s="9">
        <v>35305.160000000003</v>
      </c>
      <c r="H9" s="10">
        <f>9000+18184.97</f>
        <v>27184.97</v>
      </c>
      <c r="I9" s="9">
        <v>34376.07</v>
      </c>
      <c r="J9" s="10">
        <f>3400+5860.54+17389.04</f>
        <v>26649.58</v>
      </c>
      <c r="K9" s="9">
        <v>35305.160000000003</v>
      </c>
      <c r="L9" s="10">
        <f>9000+18184.97</f>
        <v>27184.97</v>
      </c>
      <c r="M9" s="9">
        <v>35305.160000000003</v>
      </c>
      <c r="N9" s="10">
        <f>9000+18184.07</f>
        <v>27184.07</v>
      </c>
      <c r="O9" s="9">
        <v>36537.360000000001</v>
      </c>
      <c r="P9" s="10">
        <f>21516.41+6617.36</f>
        <v>28133.77</v>
      </c>
      <c r="Q9" s="9">
        <v>65375.65</v>
      </c>
      <c r="R9" s="10">
        <f>4000+29476.75+16862.5</f>
        <v>50339.25</v>
      </c>
      <c r="S9" s="9">
        <v>35438.39</v>
      </c>
      <c r="T9" s="10">
        <f>9000+18287.56</f>
        <v>27287.56</v>
      </c>
      <c r="U9" s="9">
        <v>35057.97</v>
      </c>
      <c r="V9" s="10">
        <f>9000+17994.64</f>
        <v>26994.639999999999</v>
      </c>
      <c r="W9" s="9">
        <v>31033.29</v>
      </c>
      <c r="X9" s="10">
        <f>9000+13108.64</f>
        <v>22108.639999999999</v>
      </c>
      <c r="Y9" s="9">
        <v>36776.980000000003</v>
      </c>
      <c r="Z9" s="10">
        <f>9000+19318.27</f>
        <v>28318.27</v>
      </c>
    </row>
    <row r="10" spans="1:26" ht="45.6" customHeight="1" x14ac:dyDescent="0.3">
      <c r="A10" s="31" t="s">
        <v>26</v>
      </c>
      <c r="B10" s="28" t="s">
        <v>20</v>
      </c>
      <c r="C10" s="9">
        <v>34341.379999999997</v>
      </c>
      <c r="D10" s="10">
        <f>8000+10742.87</f>
        <v>18742.870000000003</v>
      </c>
      <c r="E10" s="9">
        <v>46889.19</v>
      </c>
      <c r="F10" s="10">
        <f>8000+9140.97+18963.7</f>
        <v>36104.67</v>
      </c>
      <c r="G10" s="9">
        <v>36255.839999999997</v>
      </c>
      <c r="H10" s="15">
        <f>9000+18917</f>
        <v>27917</v>
      </c>
      <c r="I10" s="9">
        <v>33779.74</v>
      </c>
      <c r="J10" s="10">
        <f>9000+17010.4</f>
        <v>26010.400000000001</v>
      </c>
      <c r="K10" s="9">
        <v>36255.839999999997</v>
      </c>
      <c r="L10" s="16">
        <f>9000+18917</f>
        <v>27917</v>
      </c>
      <c r="M10" s="9">
        <v>65860.45</v>
      </c>
      <c r="N10" s="10">
        <f>9000+41712.55</f>
        <v>50712.55</v>
      </c>
      <c r="O10" s="9">
        <v>36255.839999999997</v>
      </c>
      <c r="P10" s="10">
        <f>9000+18917</f>
        <v>27917</v>
      </c>
      <c r="Q10" s="9">
        <v>37132.07</v>
      </c>
      <c r="R10" s="10">
        <f>20154.23+8437.47</f>
        <v>28591.699999999997</v>
      </c>
      <c r="S10" s="9">
        <v>36389.07</v>
      </c>
      <c r="T10" s="10">
        <f>9000+19019.59</f>
        <v>28019.59</v>
      </c>
      <c r="U10" s="9">
        <v>37552.449999999997</v>
      </c>
      <c r="V10" s="10">
        <f>8000+4550.54+16364.85</f>
        <v>28915.39</v>
      </c>
      <c r="W10" s="9">
        <v>30318.86</v>
      </c>
      <c r="X10" s="10">
        <f>9000+14345.53</f>
        <v>23345.53</v>
      </c>
      <c r="Y10" s="9">
        <v>38486.47</v>
      </c>
      <c r="Z10" s="10">
        <f>9000+20634.59</f>
        <v>29634.59</v>
      </c>
    </row>
    <row r="11" spans="1:26" ht="37.200000000000003" customHeight="1" x14ac:dyDescent="0.3">
      <c r="A11" s="31" t="s">
        <v>26</v>
      </c>
      <c r="B11" s="28" t="s">
        <v>20</v>
      </c>
      <c r="C11" s="9">
        <v>26120.78</v>
      </c>
      <c r="D11" s="10">
        <f>8000+12113</f>
        <v>20113</v>
      </c>
      <c r="E11" s="9">
        <v>49408.57</v>
      </c>
      <c r="F11" s="10">
        <f>8000+9787.59+20257.01</f>
        <v>38044.6</v>
      </c>
      <c r="G11" s="9">
        <v>36634.01</v>
      </c>
      <c r="H11" s="10">
        <f>9000+19208.19</f>
        <v>28208.19</v>
      </c>
      <c r="I11" s="9">
        <v>36355.839999999997</v>
      </c>
      <c r="J11" s="10">
        <f>9000+18994</f>
        <v>27994</v>
      </c>
      <c r="K11" s="9">
        <v>38831.94</v>
      </c>
      <c r="L11" s="10">
        <f>9000+20900.59</f>
        <v>29900.59</v>
      </c>
      <c r="M11" s="9">
        <v>38831.94</v>
      </c>
      <c r="N11" s="10">
        <f>9000+20900.59</f>
        <v>29900.59</v>
      </c>
      <c r="O11" s="9">
        <v>38831.94</v>
      </c>
      <c r="P11" s="10">
        <f>9000+20900.59</f>
        <v>29900.59</v>
      </c>
      <c r="Q11" s="9">
        <v>68680.570000000007</v>
      </c>
      <c r="R11" s="10">
        <f>43865.17+9018.87</f>
        <v>52884.04</v>
      </c>
      <c r="S11" s="9">
        <v>66414.11</v>
      </c>
      <c r="T11" s="10">
        <f>9000+42138.86</f>
        <v>51138.86</v>
      </c>
      <c r="U11" s="20">
        <v>0</v>
      </c>
      <c r="V11" s="21">
        <v>0</v>
      </c>
      <c r="W11" s="20">
        <v>0</v>
      </c>
      <c r="X11" s="21">
        <v>0</v>
      </c>
      <c r="Y11" s="20">
        <v>0</v>
      </c>
      <c r="Z11" s="21">
        <v>0</v>
      </c>
    </row>
    <row r="12" spans="1:26" ht="31.2" x14ac:dyDescent="0.3">
      <c r="A12" s="31" t="s">
        <v>27</v>
      </c>
      <c r="B12" s="28" t="s">
        <v>21</v>
      </c>
      <c r="C12" s="9">
        <v>24330.560000000001</v>
      </c>
      <c r="D12" s="10">
        <f>10000+8734.53</f>
        <v>18734.53</v>
      </c>
      <c r="E12" s="9">
        <v>46985.27</v>
      </c>
      <c r="F12" s="10">
        <f>10000+17003.9+9174.76</f>
        <v>36178.660000000003</v>
      </c>
      <c r="G12" s="9">
        <v>36245.839999999997</v>
      </c>
      <c r="H12" s="10">
        <f>10000+17909.3</f>
        <v>27909.3</v>
      </c>
      <c r="I12" s="9">
        <v>33894.14</v>
      </c>
      <c r="J12" s="10">
        <f>10000+16098.48</f>
        <v>26098.48</v>
      </c>
      <c r="K12" s="9">
        <v>63931.02</v>
      </c>
      <c r="L12" s="10">
        <f>2000+32275.12+14951.77</f>
        <v>49226.89</v>
      </c>
      <c r="M12" s="9">
        <f>20794.19+34519.84</f>
        <v>55314.03</v>
      </c>
      <c r="N12" s="10">
        <f>16011.53+10000+16580.27</f>
        <v>42591.8</v>
      </c>
      <c r="O12" s="9">
        <v>36324.11</v>
      </c>
      <c r="P12" s="10">
        <f>10000+17969.56</f>
        <v>27969.56</v>
      </c>
      <c r="Q12" s="9">
        <v>36679.49</v>
      </c>
      <c r="R12" s="10">
        <f>10000+18243.21</f>
        <v>28243.21</v>
      </c>
      <c r="S12" s="9">
        <v>36292.11</v>
      </c>
      <c r="T12" s="10">
        <f>2000+10378.18+15566.74</f>
        <v>27944.92</v>
      </c>
      <c r="U12" s="9">
        <v>36530.92</v>
      </c>
      <c r="V12" s="10">
        <f>10000+18128.8</f>
        <v>28128.799999999999</v>
      </c>
      <c r="W12" s="9">
        <v>29585.18</v>
      </c>
      <c r="X12" s="10">
        <f>10000+12780.59</f>
        <v>22780.59</v>
      </c>
      <c r="Y12" s="9">
        <v>36714.239999999998</v>
      </c>
      <c r="Z12" s="10">
        <f>10000+18269.97</f>
        <v>28269.97</v>
      </c>
    </row>
    <row r="13" spans="1:26" ht="31.2" x14ac:dyDescent="0.3">
      <c r="A13" s="31" t="s">
        <v>27</v>
      </c>
      <c r="B13" s="28" t="s">
        <v>21</v>
      </c>
      <c r="C13" s="9">
        <v>24430.560000000001</v>
      </c>
      <c r="D13" s="10">
        <f>8000+10811.53</f>
        <v>18811.53</v>
      </c>
      <c r="E13" s="9">
        <v>46234.18</v>
      </c>
      <c r="F13" s="10">
        <f>8000+9174.76+18425.56</f>
        <v>35600.320000000007</v>
      </c>
      <c r="G13" s="9">
        <v>34763.279999999999</v>
      </c>
      <c r="H13" s="10">
        <f>9000+17767.73</f>
        <v>26767.73</v>
      </c>
      <c r="I13" s="9">
        <v>59773.05</v>
      </c>
      <c r="J13" s="10">
        <f>5000+25510.31+15514.94</f>
        <v>46025.25</v>
      </c>
      <c r="K13" s="9">
        <v>31264.86</v>
      </c>
      <c r="L13" s="10">
        <f>22427.75+1646.2</f>
        <v>24073.95</v>
      </c>
      <c r="M13" s="9">
        <v>36816.18</v>
      </c>
      <c r="N13" s="10">
        <f>9000+19348.46</f>
        <v>28348.46</v>
      </c>
      <c r="O13" s="9">
        <v>36816.18</v>
      </c>
      <c r="P13" s="10">
        <f>9000+19348.46</f>
        <v>28348.46</v>
      </c>
      <c r="Q13" s="9">
        <v>34478.29</v>
      </c>
      <c r="R13" s="10">
        <f>9000+17548.29</f>
        <v>26548.29</v>
      </c>
      <c r="S13" s="9">
        <v>36384.449999999997</v>
      </c>
      <c r="T13" s="10">
        <f>9000+19016.03</f>
        <v>28016.03</v>
      </c>
      <c r="U13" s="9">
        <v>35081.480000000003</v>
      </c>
      <c r="V13" s="10">
        <f>9000+18012.74</f>
        <v>27012.74</v>
      </c>
      <c r="W13" s="9">
        <v>29549.93</v>
      </c>
      <c r="X13" s="10">
        <f>10000+12753.44</f>
        <v>22753.440000000002</v>
      </c>
      <c r="Y13" s="9">
        <v>33905.68</v>
      </c>
      <c r="Z13" s="10">
        <f>14219.47+11887.91</f>
        <v>26107.379999999997</v>
      </c>
    </row>
    <row r="14" spans="1:26" ht="22.2" customHeight="1" x14ac:dyDescent="0.3">
      <c r="A14" s="31" t="s">
        <v>28</v>
      </c>
      <c r="B14" s="28" t="s">
        <v>13</v>
      </c>
      <c r="C14" s="9"/>
      <c r="D14" s="10"/>
      <c r="E14" s="9"/>
      <c r="F14" s="10"/>
      <c r="G14" s="9"/>
      <c r="H14" s="10"/>
      <c r="I14" s="9"/>
      <c r="J14" s="10"/>
      <c r="K14" s="9"/>
      <c r="L14" s="10"/>
      <c r="M14" s="9"/>
      <c r="N14" s="10"/>
      <c r="O14" s="9"/>
      <c r="P14" s="10"/>
      <c r="Q14" s="9"/>
      <c r="R14" s="10"/>
      <c r="S14" s="9">
        <v>12374.1</v>
      </c>
      <c r="T14" s="10">
        <f>2863.08+202.36+809.46+5653.15</f>
        <v>9528.0499999999993</v>
      </c>
      <c r="U14" s="9">
        <v>17441.66</v>
      </c>
      <c r="V14" s="10">
        <f>6000+7430.08</f>
        <v>13430.08</v>
      </c>
      <c r="W14" s="9">
        <v>16693.23</v>
      </c>
      <c r="X14" s="10">
        <f>6000+6853.79</f>
        <v>12853.79</v>
      </c>
      <c r="Y14" s="9">
        <v>16194.62</v>
      </c>
      <c r="Z14" s="10">
        <f>6000+6469.86</f>
        <v>12469.86</v>
      </c>
    </row>
    <row r="15" spans="1:26" ht="31.2" x14ac:dyDescent="0.3">
      <c r="A15" s="31" t="s">
        <v>28</v>
      </c>
      <c r="B15" s="28" t="s">
        <v>13</v>
      </c>
      <c r="C15" s="9"/>
      <c r="D15" s="10"/>
      <c r="E15" s="9"/>
      <c r="F15" s="10"/>
      <c r="G15" s="9"/>
      <c r="H15" s="10"/>
      <c r="I15" s="9"/>
      <c r="J15" s="10"/>
      <c r="K15" s="9"/>
      <c r="L15" s="10"/>
      <c r="M15" s="9"/>
      <c r="N15" s="10"/>
      <c r="O15" s="9"/>
      <c r="P15" s="10"/>
      <c r="Q15" s="9"/>
      <c r="R15" s="10"/>
      <c r="S15" s="9"/>
      <c r="T15" s="10"/>
      <c r="U15" s="9"/>
      <c r="V15" s="10"/>
      <c r="W15" s="9"/>
      <c r="X15" s="10"/>
      <c r="Y15" s="9">
        <v>16493.23</v>
      </c>
      <c r="Z15" s="10">
        <f>6000+6699.79</f>
        <v>12699.79</v>
      </c>
    </row>
    <row r="16" spans="1:26" ht="31.2" x14ac:dyDescent="0.3">
      <c r="A16" s="31" t="s">
        <v>28</v>
      </c>
      <c r="B16" s="28" t="s">
        <v>13</v>
      </c>
      <c r="C16" s="9"/>
      <c r="D16" s="10"/>
      <c r="E16" s="9"/>
      <c r="F16" s="10"/>
      <c r="G16" s="9"/>
      <c r="H16" s="10"/>
      <c r="I16" s="9"/>
      <c r="J16" s="10"/>
      <c r="K16" s="9"/>
      <c r="L16" s="10"/>
      <c r="M16" s="9"/>
      <c r="N16" s="10"/>
      <c r="O16" s="9"/>
      <c r="P16" s="10"/>
      <c r="Q16" s="9"/>
      <c r="R16" s="10"/>
      <c r="S16" s="9">
        <v>15743.53</v>
      </c>
      <c r="T16" s="10">
        <f>6000+6122.51</f>
        <v>12122.51</v>
      </c>
      <c r="U16" s="9">
        <v>15036.86</v>
      </c>
      <c r="V16" s="10">
        <f>4000+6971.3</f>
        <v>10971.3</v>
      </c>
      <c r="W16" s="9">
        <v>16693.23</v>
      </c>
      <c r="X16" s="10">
        <f>6000+6853.79</f>
        <v>12853.79</v>
      </c>
      <c r="Y16" s="9">
        <v>16693.23</v>
      </c>
      <c r="Z16" s="10">
        <f>6000+6853.79</f>
        <v>12853.79</v>
      </c>
    </row>
    <row r="17" spans="1:26" ht="31.2" x14ac:dyDescent="0.3">
      <c r="A17" s="31" t="s">
        <v>28</v>
      </c>
      <c r="B17" s="28" t="s">
        <v>13</v>
      </c>
      <c r="C17" s="9"/>
      <c r="D17" s="10"/>
      <c r="E17" s="9"/>
      <c r="F17" s="10"/>
      <c r="G17" s="9"/>
      <c r="H17" s="10"/>
      <c r="I17" s="9"/>
      <c r="J17" s="10"/>
      <c r="K17" s="9"/>
      <c r="L17" s="10"/>
      <c r="M17" s="9">
        <v>4674.29</v>
      </c>
      <c r="N17" s="10">
        <v>3599.21</v>
      </c>
      <c r="O17" s="9">
        <v>17238.84</v>
      </c>
      <c r="P17" s="10">
        <f>6000+7273.93</f>
        <v>13273.93</v>
      </c>
      <c r="Q17" s="9">
        <v>17644.46</v>
      </c>
      <c r="R17" s="10">
        <f>6000+7586.24</f>
        <v>13586.24</v>
      </c>
      <c r="S17" s="9">
        <v>15919.31</v>
      </c>
      <c r="T17" s="10">
        <f>6000+6257.86</f>
        <v>12257.86</v>
      </c>
      <c r="U17" s="9">
        <v>16541.2</v>
      </c>
      <c r="V17" s="10">
        <f>6000+6736.72</f>
        <v>12736.720000000001</v>
      </c>
      <c r="W17" s="9">
        <v>16406.080000000002</v>
      </c>
      <c r="X17" s="10">
        <f>6000+6632.69</f>
        <v>12632.689999999999</v>
      </c>
      <c r="Y17" s="9">
        <v>16693.23</v>
      </c>
      <c r="Z17" s="10">
        <f>6000+6853.79</f>
        <v>12853.79</v>
      </c>
    </row>
    <row r="18" spans="1:26" ht="31.2" x14ac:dyDescent="0.3">
      <c r="A18" s="31" t="s">
        <v>28</v>
      </c>
      <c r="B18" s="28" t="s">
        <v>13</v>
      </c>
      <c r="C18" s="9">
        <v>17850.240000000002</v>
      </c>
      <c r="D18" s="10">
        <f>7000+6744.69</f>
        <v>13744.689999999999</v>
      </c>
      <c r="E18" s="9">
        <v>24831.360000000001</v>
      </c>
      <c r="F18" s="10">
        <f>7000+2687.73+9432.42</f>
        <v>19120.150000000001</v>
      </c>
      <c r="G18" s="9">
        <v>22976.799999999999</v>
      </c>
      <c r="H18" s="10">
        <f>7000+10692.14</f>
        <v>17692.14</v>
      </c>
      <c r="I18" s="9">
        <v>21313.15</v>
      </c>
      <c r="J18" s="10">
        <f>4400+9696.81</f>
        <v>14096.81</v>
      </c>
      <c r="K18" s="9">
        <v>22976.799999999999</v>
      </c>
      <c r="L18" s="10">
        <f>7000+10692.14</f>
        <v>17692.14</v>
      </c>
      <c r="M18" s="9">
        <v>22976.799999999999</v>
      </c>
      <c r="N18" s="10">
        <f>7000+10692.14</f>
        <v>17692.14</v>
      </c>
      <c r="O18" s="9">
        <v>22197.74</v>
      </c>
      <c r="P18" s="10">
        <f>10306.17+6786.09</f>
        <v>17092.260000000002</v>
      </c>
      <c r="Q18" s="9">
        <v>20923.52</v>
      </c>
      <c r="R18" s="10">
        <f>7000+8599.71+511.4</f>
        <v>16111.109999999999</v>
      </c>
      <c r="S18" s="9">
        <v>22292.03</v>
      </c>
      <c r="T18" s="10">
        <f>7000+10164.86</f>
        <v>17164.86</v>
      </c>
      <c r="U18" s="9">
        <v>21490.91</v>
      </c>
      <c r="V18" s="10">
        <f>7000+2779.58+6467.19+301.23</f>
        <v>16548</v>
      </c>
      <c r="W18" s="9">
        <f>43319.63</f>
        <v>43319.63</v>
      </c>
      <c r="X18" s="10">
        <f>2700+7782.8+22283.3</f>
        <v>32766.1</v>
      </c>
      <c r="Y18" s="9">
        <v>21081.03</v>
      </c>
      <c r="Z18" s="10">
        <f>7000+1113.32+8119.07</f>
        <v>16232.39</v>
      </c>
    </row>
    <row r="19" spans="1:26" ht="31.2" x14ac:dyDescent="0.3">
      <c r="A19" s="31" t="s">
        <v>28</v>
      </c>
      <c r="B19" s="28" t="s">
        <v>13</v>
      </c>
      <c r="C19" s="9">
        <v>19467.72</v>
      </c>
      <c r="D19" s="10">
        <f>7000+510.96+7479.18</f>
        <v>14990.14</v>
      </c>
      <c r="E19" s="9">
        <v>26591.19</v>
      </c>
      <c r="F19" s="10">
        <f>7000+4276.8+9198.42</f>
        <v>20475.22</v>
      </c>
      <c r="G19" s="9">
        <v>23266.63</v>
      </c>
      <c r="H19" s="10">
        <f>8000+9915.31</f>
        <v>17915.309999999998</v>
      </c>
      <c r="I19" s="9">
        <v>22808.21</v>
      </c>
      <c r="J19" s="10">
        <f>8000+9562.32</f>
        <v>17562.32</v>
      </c>
      <c r="K19" s="9">
        <v>24580.51</v>
      </c>
      <c r="L19" s="10">
        <f>8000+4424.49</f>
        <v>12424.49</v>
      </c>
      <c r="M19" s="9">
        <v>25575.89</v>
      </c>
      <c r="N19" s="10">
        <f>8000+8030.31+3663.13</f>
        <v>19693.440000000002</v>
      </c>
      <c r="O19" s="9">
        <v>20930.98</v>
      </c>
      <c r="P19" s="10">
        <f>8000+8116.85</f>
        <v>16116.85</v>
      </c>
      <c r="Q19" s="9">
        <v>26081.79</v>
      </c>
      <c r="R19" s="10">
        <f>8000+12082.98</f>
        <v>20082.98</v>
      </c>
      <c r="S19" s="9">
        <v>45037.3</v>
      </c>
      <c r="T19" s="10">
        <f>8000+8099.11+18579.61</f>
        <v>34678.720000000001</v>
      </c>
      <c r="U19" s="9">
        <v>26022.5</v>
      </c>
      <c r="V19" s="10">
        <f>6000+2924.69+11112.63</f>
        <v>20037.32</v>
      </c>
      <c r="W19" s="9">
        <v>20637.45</v>
      </c>
      <c r="X19" s="10">
        <f>8000+7890.84</f>
        <v>15890.84</v>
      </c>
      <c r="Y19" s="9">
        <f>24806.62</f>
        <v>24806.62</v>
      </c>
      <c r="Z19" s="10">
        <f>8000+11101.1</f>
        <v>19101.099999999999</v>
      </c>
    </row>
    <row r="20" spans="1:26" ht="31.2" x14ac:dyDescent="0.3">
      <c r="A20" s="31" t="s">
        <v>29</v>
      </c>
      <c r="B20" s="28" t="s">
        <v>13</v>
      </c>
      <c r="C20" s="9">
        <v>19486.2</v>
      </c>
      <c r="D20" s="10">
        <f>7000+8004.38</f>
        <v>15004.380000000001</v>
      </c>
      <c r="E20" s="9">
        <v>25485.8</v>
      </c>
      <c r="F20" s="10">
        <f>7000+2939.69+9684.37</f>
        <v>19624.060000000001</v>
      </c>
      <c r="G20" s="9">
        <v>21181.64</v>
      </c>
      <c r="H20" s="10">
        <f>10583.11+5726.75</f>
        <v>16309.86</v>
      </c>
      <c r="I20" s="9">
        <v>21749.82</v>
      </c>
      <c r="J20" s="10">
        <f>8000+8747.36</f>
        <v>16747.36</v>
      </c>
      <c r="K20" s="9">
        <v>23696.71</v>
      </c>
      <c r="L20" s="10">
        <f>6000+2682.8+9563.66</f>
        <v>18246.46</v>
      </c>
      <c r="M20" s="9">
        <v>23404</v>
      </c>
      <c r="N20" s="10">
        <f>7000+11021.08</f>
        <v>18021.080000000002</v>
      </c>
      <c r="O20" s="9">
        <v>21531.040000000001</v>
      </c>
      <c r="P20" s="10">
        <f>8000+8058.57+520.33</f>
        <v>16578.900000000001</v>
      </c>
      <c r="Q20" s="9">
        <v>23520.69</v>
      </c>
      <c r="R20" s="10">
        <f>4000+5530.62+8580.32</f>
        <v>18110.939999999999</v>
      </c>
      <c r="S20" s="9">
        <v>12282.64</v>
      </c>
      <c r="T20" s="10">
        <f>6854.82+2436.35+166.46</f>
        <v>9457.6299999999992</v>
      </c>
      <c r="U20" s="9">
        <v>35588.03</v>
      </c>
      <c r="V20" s="10">
        <f>12790.79+14611.99</f>
        <v>27402.78</v>
      </c>
      <c r="W20" s="9">
        <v>20274.29</v>
      </c>
      <c r="X20" s="10">
        <f>15611.21</f>
        <v>15611.21</v>
      </c>
      <c r="Y20" s="9">
        <v>43528.02</v>
      </c>
      <c r="Z20" s="10">
        <f>10282.56+17337.05+5896.97</f>
        <v>33516.58</v>
      </c>
    </row>
    <row r="21" spans="1:26" ht="31.2" x14ac:dyDescent="0.3">
      <c r="A21" s="31" t="s">
        <v>28</v>
      </c>
      <c r="B21" s="28" t="s">
        <v>13</v>
      </c>
      <c r="C21" s="9"/>
      <c r="D21" s="10"/>
      <c r="E21" s="9"/>
      <c r="F21" s="10"/>
      <c r="G21" s="9"/>
      <c r="H21" s="10"/>
      <c r="I21" s="9"/>
      <c r="J21" s="10"/>
      <c r="K21" s="9"/>
      <c r="L21" s="10"/>
      <c r="M21" s="9"/>
      <c r="N21" s="10"/>
      <c r="O21" s="9"/>
      <c r="P21" s="10"/>
      <c r="Q21" s="9"/>
      <c r="R21" s="10"/>
      <c r="S21" s="9">
        <v>15743.53</v>
      </c>
      <c r="T21" s="10">
        <f>6000+6122.51</f>
        <v>12122.51</v>
      </c>
      <c r="U21" s="9">
        <v>17502.53</v>
      </c>
      <c r="V21" s="10">
        <f>6000+7476.94</f>
        <v>13476.939999999999</v>
      </c>
      <c r="W21" s="9">
        <v>15503.3</v>
      </c>
      <c r="X21" s="10">
        <f>6000+5937.54</f>
        <v>11937.54</v>
      </c>
      <c r="Y21" s="9">
        <f>16693.23</f>
        <v>16693.23</v>
      </c>
      <c r="Z21" s="10">
        <f>6000+6853.79</f>
        <v>12853.79</v>
      </c>
    </row>
    <row r="22" spans="1:26" ht="31.2" x14ac:dyDescent="0.3">
      <c r="A22" s="31" t="s">
        <v>28</v>
      </c>
      <c r="B22" s="28" t="s">
        <v>13</v>
      </c>
      <c r="C22" s="9">
        <v>21149.5</v>
      </c>
      <c r="D22" s="10">
        <f>8000+8285.11</f>
        <v>16285.11</v>
      </c>
      <c r="E22" s="9">
        <f>27383.26</f>
        <v>27383.26</v>
      </c>
      <c r="F22" s="10">
        <f>8000+9935.43</f>
        <v>17935.43</v>
      </c>
      <c r="G22" s="9">
        <v>21964.95</v>
      </c>
      <c r="H22" s="10">
        <f>8000+8913.01</f>
        <v>16913.010000000002</v>
      </c>
      <c r="I22" s="9">
        <f>12979.63+18239.46</f>
        <v>31219.089999999997</v>
      </c>
      <c r="J22" s="10">
        <f>9994.32+3900+10144.39</f>
        <v>24038.71</v>
      </c>
      <c r="K22" s="9">
        <v>25240</v>
      </c>
      <c r="L22" s="10">
        <f>8000+11434.8</f>
        <v>19434.8</v>
      </c>
      <c r="M22" s="9">
        <v>22991.27</v>
      </c>
      <c r="N22" s="10">
        <f>1000+7523.14+9180.13</f>
        <v>17703.269999999997</v>
      </c>
      <c r="O22" s="9">
        <v>22786</v>
      </c>
      <c r="P22" s="10">
        <f>8000+9545.22</f>
        <v>17545.22</v>
      </c>
      <c r="Q22" s="9">
        <v>23052.46</v>
      </c>
      <c r="R22" s="10">
        <f>8000+9750.4</f>
        <v>17750.400000000001</v>
      </c>
      <c r="S22" s="9">
        <v>22166.38</v>
      </c>
      <c r="T22" s="10">
        <f>8000+6477.65+2590.46</f>
        <v>17068.11</v>
      </c>
      <c r="U22" s="9">
        <v>45160.56</v>
      </c>
      <c r="V22" s="10">
        <f>8000+26773.63</f>
        <v>34773.630000000005</v>
      </c>
      <c r="W22" s="9">
        <v>23273.360000000001</v>
      </c>
      <c r="X22" s="10">
        <f>8000+1169.96+8750.52</f>
        <v>17920.48</v>
      </c>
      <c r="Y22" s="9">
        <v>24667.21</v>
      </c>
      <c r="Z22" s="10">
        <f>8000+10993.75</f>
        <v>18993.75</v>
      </c>
    </row>
    <row r="23" spans="1:26" ht="31.2" x14ac:dyDescent="0.3">
      <c r="A23" s="31" t="s">
        <v>28</v>
      </c>
      <c r="B23" s="28" t="s">
        <v>13</v>
      </c>
      <c r="C23" s="9">
        <v>20849.5</v>
      </c>
      <c r="D23" s="10">
        <f>7000+9054.11</f>
        <v>16054.11</v>
      </c>
      <c r="E23" s="9">
        <v>25308.18</v>
      </c>
      <c r="F23" s="10">
        <f>7000+3149.68+9337.62</f>
        <v>19487.300000000003</v>
      </c>
      <c r="G23" s="9">
        <v>24940</v>
      </c>
      <c r="H23" s="10">
        <f>8000+11203.8</f>
        <v>19203.8</v>
      </c>
      <c r="I23" s="9">
        <v>21675.16</v>
      </c>
      <c r="J23" s="10">
        <f>8000+8689.87</f>
        <v>16689.870000000003</v>
      </c>
      <c r="K23" s="9">
        <v>23638.28</v>
      </c>
      <c r="L23" s="10">
        <f>8149.12+10052.36</f>
        <v>18201.48</v>
      </c>
      <c r="M23" s="9">
        <v>24424.54</v>
      </c>
      <c r="N23" s="10">
        <f>8000+8029.18+2777.71</f>
        <v>18806.89</v>
      </c>
      <c r="O23" s="9">
        <v>22356.6</v>
      </c>
      <c r="P23" s="10">
        <f>8000+9214.58</f>
        <v>17214.580000000002</v>
      </c>
      <c r="Q23" s="9">
        <v>22846.67</v>
      </c>
      <c r="R23" s="10">
        <f>8000+9591.94</f>
        <v>17591.940000000002</v>
      </c>
      <c r="S23" s="9">
        <v>46247.37</v>
      </c>
      <c r="T23" s="10">
        <f>1000+6779.47+27831</f>
        <v>35610.47</v>
      </c>
      <c r="U23" s="9">
        <v>25173.23</v>
      </c>
      <c r="V23" s="10">
        <f>8000+11383.39</f>
        <v>19383.39</v>
      </c>
      <c r="W23" s="9">
        <v>20063.96</v>
      </c>
      <c r="X23" s="10">
        <f>8000+7449.25</f>
        <v>15449.25</v>
      </c>
      <c r="Y23" s="9">
        <v>23846.47</v>
      </c>
      <c r="Z23" s="10">
        <f>8000+10361.78</f>
        <v>18361.78</v>
      </c>
    </row>
    <row r="24" spans="1:26" ht="31.2" x14ac:dyDescent="0.3">
      <c r="A24" s="31" t="s">
        <v>28</v>
      </c>
      <c r="B24" s="28" t="s">
        <v>13</v>
      </c>
      <c r="C24" s="9"/>
      <c r="D24" s="10"/>
      <c r="E24" s="9"/>
      <c r="F24" s="10"/>
      <c r="G24" s="9"/>
      <c r="H24" s="10"/>
      <c r="I24" s="9"/>
      <c r="J24" s="10"/>
      <c r="K24" s="9"/>
      <c r="L24" s="10"/>
      <c r="M24" s="9"/>
      <c r="N24" s="10"/>
      <c r="O24" s="9"/>
      <c r="P24" s="10"/>
      <c r="Q24" s="9"/>
      <c r="R24" s="10"/>
      <c r="S24" s="9">
        <v>15743.53</v>
      </c>
      <c r="T24" s="10">
        <f>6000+6122.51</f>
        <v>12122.51</v>
      </c>
      <c r="U24" s="9">
        <v>17502.53</v>
      </c>
      <c r="V24" s="10">
        <f>6000+7476.94</f>
        <v>13476.939999999999</v>
      </c>
      <c r="W24" s="9">
        <v>16693.23</v>
      </c>
      <c r="X24" s="10">
        <f>6000+6853.79</f>
        <v>12853.79</v>
      </c>
      <c r="Y24" s="9">
        <f>16693.23</f>
        <v>16693.23</v>
      </c>
      <c r="Z24" s="10">
        <f>6000+6853.79</f>
        <v>12853.79</v>
      </c>
    </row>
    <row r="25" spans="1:26" ht="31.2" x14ac:dyDescent="0.3">
      <c r="A25" s="31" t="s">
        <v>28</v>
      </c>
      <c r="B25" s="28" t="s">
        <v>13</v>
      </c>
      <c r="C25" s="9">
        <v>15718.98</v>
      </c>
      <c r="D25" s="10">
        <f>5000+7103.61</f>
        <v>12103.61</v>
      </c>
      <c r="E25" s="9">
        <v>19832.400000000001</v>
      </c>
      <c r="F25" s="10">
        <f>5000+2519.75+7751.2</f>
        <v>15270.95</v>
      </c>
      <c r="G25" s="9">
        <v>19014</v>
      </c>
      <c r="H25" s="10">
        <f>6000+8640.78</f>
        <v>14640.78</v>
      </c>
      <c r="I25" s="9">
        <v>18196</v>
      </c>
      <c r="J25" s="10">
        <f>6000+8010.92</f>
        <v>14010.92</v>
      </c>
      <c r="K25" s="9">
        <v>19832</v>
      </c>
      <c r="L25" s="10">
        <f>6000+9270.64</f>
        <v>15270.64</v>
      </c>
      <c r="M25" s="9">
        <v>19832</v>
      </c>
      <c r="N25" s="10">
        <f>6000+9270.64</f>
        <v>15270.64</v>
      </c>
      <c r="O25" s="9">
        <v>18594.990000000002</v>
      </c>
      <c r="P25" s="10">
        <f>11744.53+2573.61</f>
        <v>14318.140000000001</v>
      </c>
      <c r="Q25" s="9">
        <f>17586.53</f>
        <v>17586.53</v>
      </c>
      <c r="R25" s="10">
        <f>6000+7541.62</f>
        <v>13541.619999999999</v>
      </c>
      <c r="S25" s="9">
        <v>19965.23</v>
      </c>
      <c r="T25" s="10">
        <f>6000+9373.23</f>
        <v>15373.23</v>
      </c>
      <c r="U25" s="9">
        <v>29573.29</v>
      </c>
      <c r="V25" s="10">
        <f>6000+7318.78+1752.64</f>
        <v>15071.419999999998</v>
      </c>
      <c r="W25" s="9">
        <v>34011.300000000003</v>
      </c>
      <c r="X25" s="10">
        <f>6000+19230.64+958.07</f>
        <v>26188.71</v>
      </c>
      <c r="Y25" s="9">
        <v>16891.68</v>
      </c>
      <c r="Z25" s="10">
        <f>6000+7006.6</f>
        <v>13006.6</v>
      </c>
    </row>
    <row r="26" spans="1:26" ht="31.2" x14ac:dyDescent="0.3">
      <c r="A26" s="31"/>
      <c r="B26" s="29" t="s">
        <v>22</v>
      </c>
      <c r="C26" s="9">
        <v>16576.099999999999</v>
      </c>
      <c r="D26" s="10">
        <f>5000+7763.59</f>
        <v>12763.59</v>
      </c>
      <c r="E26" s="9">
        <v>15495.05</v>
      </c>
      <c r="F26" s="10">
        <f>5000+6931.19</f>
        <v>11931.189999999999</v>
      </c>
      <c r="G26" s="9">
        <v>16576.099999999999</v>
      </c>
      <c r="H26" s="10">
        <f>5000+7763.59</f>
        <v>12763.59</v>
      </c>
      <c r="I26" s="9">
        <v>15855.4</v>
      </c>
      <c r="J26" s="10">
        <f>5000+7208.66</f>
        <v>12208.66</v>
      </c>
      <c r="K26" s="9">
        <v>15855.4</v>
      </c>
      <c r="L26" s="10">
        <f>5000+7208.66</f>
        <v>12208.66</v>
      </c>
      <c r="M26" s="9">
        <v>16655.93</v>
      </c>
      <c r="N26" s="10">
        <f>5000+7825.07</f>
        <v>12825.07</v>
      </c>
      <c r="O26" s="9">
        <v>15101.13</v>
      </c>
      <c r="P26" s="10">
        <f>4000+1771.67+5856.19</f>
        <v>11627.86</v>
      </c>
      <c r="Q26" s="9">
        <v>33204.699999999997</v>
      </c>
      <c r="R26" s="10">
        <f>19734.39+5833.22</f>
        <v>25567.61</v>
      </c>
      <c r="S26" s="9">
        <v>15628.28</v>
      </c>
      <c r="T26" s="10">
        <f>5000+7033.78</f>
        <v>12033.779999999999</v>
      </c>
      <c r="U26" s="9">
        <v>15628.28</v>
      </c>
      <c r="V26" s="10">
        <f>5000+7033.78</f>
        <v>12033.779999999999</v>
      </c>
      <c r="W26" s="9">
        <v>15267.93</v>
      </c>
      <c r="X26" s="10">
        <f>5000+6756.3</f>
        <v>11756.3</v>
      </c>
      <c r="Y26" s="9">
        <v>15150.49</v>
      </c>
      <c r="Z26" s="10">
        <f>5000+6665.88</f>
        <v>11665.880000000001</v>
      </c>
    </row>
    <row r="27" spans="1:26" ht="31.2" x14ac:dyDescent="0.3">
      <c r="A27" s="31" t="s">
        <v>28</v>
      </c>
      <c r="B27" s="28" t="s">
        <v>13</v>
      </c>
      <c r="C27" s="9">
        <v>20849.5</v>
      </c>
      <c r="D27" s="10">
        <f>7000+9054.11</f>
        <v>16054.11</v>
      </c>
      <c r="E27" s="9">
        <v>24404.01</v>
      </c>
      <c r="F27" s="10">
        <f>7000+3149.68+8641.41</f>
        <v>18791.09</v>
      </c>
      <c r="G27" s="9">
        <v>24940</v>
      </c>
      <c r="H27" s="10">
        <f>8000+11203.8</f>
        <v>19203.8</v>
      </c>
      <c r="I27" s="9">
        <v>22273.79</v>
      </c>
      <c r="J27" s="10">
        <f>8000+9150.82</f>
        <v>17150.82</v>
      </c>
      <c r="K27" s="9">
        <v>24461.360000000001</v>
      </c>
      <c r="L27" s="10">
        <f>3000+6614.65+9220.6</f>
        <v>18835.25</v>
      </c>
      <c r="M27" s="9">
        <v>24940</v>
      </c>
      <c r="N27" s="10">
        <f>8000+11203.8</f>
        <v>19203.8</v>
      </c>
      <c r="O27" s="9">
        <v>22486</v>
      </c>
      <c r="P27" s="10">
        <f>8000+9314.22</f>
        <v>17314.22</v>
      </c>
      <c r="Q27" s="9">
        <v>22752.46</v>
      </c>
      <c r="R27" s="10">
        <f>8000+9519.4</f>
        <v>17519.400000000001</v>
      </c>
      <c r="S27" s="9">
        <v>24706.42</v>
      </c>
      <c r="T27" s="10">
        <f>3000+5622.12+10401.82</f>
        <v>19023.939999999999</v>
      </c>
      <c r="U27" s="9">
        <v>46421.14</v>
      </c>
      <c r="V27" s="10">
        <f>8000+27744.27</f>
        <v>35744.270000000004</v>
      </c>
      <c r="W27" s="9">
        <v>23323.55</v>
      </c>
      <c r="X27" s="10">
        <f>8000+1185.86+8773.27</f>
        <v>17959.13</v>
      </c>
      <c r="Y27" s="9">
        <v>20435.37</v>
      </c>
      <c r="Z27" s="10">
        <f>8000+7732.23</f>
        <v>15732.23</v>
      </c>
    </row>
    <row r="28" spans="1:26" ht="31.8" thickBot="1" x14ac:dyDescent="0.35">
      <c r="A28" s="31" t="s">
        <v>28</v>
      </c>
      <c r="B28" s="28" t="s">
        <v>13</v>
      </c>
      <c r="C28" s="17">
        <v>22212.799999999999</v>
      </c>
      <c r="D28" s="18">
        <f>7000+10103.86</f>
        <v>17103.86</v>
      </c>
      <c r="E28" s="17">
        <v>26849.200000000001</v>
      </c>
      <c r="F28" s="18">
        <f>7000+3359.65+10314.23</f>
        <v>20673.879999999997</v>
      </c>
      <c r="G28" s="17">
        <v>24940</v>
      </c>
      <c r="H28" s="18">
        <f>8000+11203.8</f>
        <v>19203.8</v>
      </c>
      <c r="I28" s="17">
        <v>23385.82</v>
      </c>
      <c r="J28" s="18">
        <f>8000+10007.08</f>
        <v>18007.080000000002</v>
      </c>
      <c r="K28" s="17">
        <f>25476.3</f>
        <v>25476.3</v>
      </c>
      <c r="L28" s="18">
        <f>9822.07+9794.68</f>
        <v>19616.75</v>
      </c>
      <c r="M28" s="17">
        <v>24995.71</v>
      </c>
      <c r="N28" s="18">
        <f>12478.18+6768.51</f>
        <v>19246.690000000002</v>
      </c>
      <c r="O28" s="17">
        <v>22586</v>
      </c>
      <c r="P28" s="18">
        <f>8000+9391.22</f>
        <v>17391.22</v>
      </c>
      <c r="Q28" s="17">
        <v>23125.03</v>
      </c>
      <c r="R28" s="18">
        <f>8000+9806.27</f>
        <v>17806.27</v>
      </c>
      <c r="S28" s="17">
        <v>48230.43</v>
      </c>
      <c r="T28" s="18">
        <f>4000+4395.34+28742.09</f>
        <v>37137.43</v>
      </c>
      <c r="U28" s="17">
        <v>25173.23</v>
      </c>
      <c r="V28" s="18">
        <f>8000+11383.39</f>
        <v>19383.39</v>
      </c>
      <c r="W28" s="17">
        <v>21901.23</v>
      </c>
      <c r="X28" s="18">
        <f>8000+8863.95</f>
        <v>16863.95</v>
      </c>
      <c r="Y28" s="17">
        <v>21183.53</v>
      </c>
      <c r="Z28" s="18">
        <f>8000+8311.31</f>
        <v>16311.31</v>
      </c>
    </row>
    <row r="29" spans="1:26" s="19" customFormat="1" ht="31.2" x14ac:dyDescent="0.3">
      <c r="A29" s="31" t="s">
        <v>28</v>
      </c>
      <c r="B29" s="28" t="s">
        <v>13</v>
      </c>
      <c r="C29" s="26">
        <v>18195.560000000001</v>
      </c>
      <c r="D29" s="27">
        <f>5000+9010.58</f>
        <v>14010.58</v>
      </c>
      <c r="E29" s="6">
        <v>20419.830000000002</v>
      </c>
      <c r="F29" s="2">
        <f>5000+2771.71+7951.56</f>
        <v>15723.27</v>
      </c>
      <c r="G29" s="2">
        <v>20159.2</v>
      </c>
      <c r="H29" s="2">
        <f>6000+9522.58</f>
        <v>15522.58</v>
      </c>
      <c r="I29" s="2">
        <f>11718.41+14313.39</f>
        <v>26031.8</v>
      </c>
      <c r="J29" s="2">
        <f>9023.18+2900+8121.31</f>
        <v>20044.490000000002</v>
      </c>
      <c r="K29" s="2">
        <v>20977.200000000001</v>
      </c>
      <c r="L29" s="2">
        <f>6000+10152.44</f>
        <v>16152.44</v>
      </c>
      <c r="M29" s="2">
        <v>16875.689999999999</v>
      </c>
      <c r="N29" s="2">
        <f>6000+5691.68+1302.61</f>
        <v>12994.29</v>
      </c>
      <c r="O29" s="2">
        <v>17705.2</v>
      </c>
      <c r="P29" s="2">
        <f>6000+7633</f>
        <v>13633</v>
      </c>
      <c r="Q29" s="2">
        <v>22061.66</v>
      </c>
      <c r="R29" s="2">
        <f>6000+10987.48</f>
        <v>16987.48</v>
      </c>
      <c r="S29" s="2">
        <v>20591.900000000001</v>
      </c>
      <c r="T29" s="2">
        <f>6000+9855.76</f>
        <v>15855.76</v>
      </c>
      <c r="U29" s="2">
        <v>38804.35</v>
      </c>
      <c r="V29" s="2">
        <f>2000+17772.56+10106.79</f>
        <v>29879.350000000002</v>
      </c>
      <c r="W29" s="2">
        <v>18217.25</v>
      </c>
      <c r="X29" s="2">
        <f>6000+4621.08+3406.2</f>
        <v>14027.279999999999</v>
      </c>
      <c r="Y29" s="2">
        <v>20005.84</v>
      </c>
      <c r="Z29" s="2">
        <f>6000+9404.5</f>
        <v>15404.5</v>
      </c>
    </row>
    <row r="30" spans="1:26" ht="31.2" x14ac:dyDescent="0.3">
      <c r="A30" s="31" t="s">
        <v>28</v>
      </c>
      <c r="B30" s="28" t="s">
        <v>13</v>
      </c>
      <c r="C30" s="17">
        <v>17277.25</v>
      </c>
      <c r="D30" s="18">
        <f>6000+1302.93+6000.55</f>
        <v>13303.48</v>
      </c>
      <c r="E30" s="24">
        <v>21328.7</v>
      </c>
      <c r="F30" s="18">
        <f>6000+2373.68+8049.41</f>
        <v>16423.09</v>
      </c>
      <c r="G30" s="17">
        <v>19601.97</v>
      </c>
      <c r="H30" s="18">
        <f>7000+8093.52</f>
        <v>15093.52</v>
      </c>
      <c r="I30" s="17">
        <v>20425.22</v>
      </c>
      <c r="J30" s="18">
        <f>6000+9727.42</f>
        <v>15727.42</v>
      </c>
      <c r="K30" s="17"/>
      <c r="L30" s="18"/>
      <c r="M30" s="17"/>
      <c r="N30" s="18"/>
      <c r="O30" s="17"/>
      <c r="P30" s="18"/>
      <c r="Q30" s="17"/>
      <c r="R30" s="18"/>
      <c r="S30" s="17"/>
      <c r="T30" s="18"/>
      <c r="U30" s="17"/>
      <c r="V30" s="18"/>
      <c r="W30" s="17"/>
      <c r="X30" s="18"/>
      <c r="Y30" s="17"/>
      <c r="Z30" s="18"/>
    </row>
    <row r="31" spans="1:26" ht="31.2" x14ac:dyDescent="0.3">
      <c r="A31" s="31" t="s">
        <v>28</v>
      </c>
      <c r="B31" s="28" t="s">
        <v>13</v>
      </c>
      <c r="C31" s="9">
        <v>16932.259999999998</v>
      </c>
      <c r="D31" s="10">
        <f>5000+8037.84</f>
        <v>13037.84</v>
      </c>
      <c r="E31" s="6">
        <v>11854.65</v>
      </c>
      <c r="F31" s="2">
        <f>9128.08</f>
        <v>9128.08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31.8" thickBot="1" x14ac:dyDescent="0.35">
      <c r="A32" s="32" t="s">
        <v>28</v>
      </c>
      <c r="B32" s="34" t="s">
        <v>13</v>
      </c>
      <c r="C32" s="11">
        <v>14599.75</v>
      </c>
      <c r="D32" s="12">
        <f>5000+6241.8</f>
        <v>11241.8</v>
      </c>
      <c r="E32" s="24">
        <v>19896.28</v>
      </c>
      <c r="F32" s="18">
        <f>5000+1687.14+8633</f>
        <v>15320.14</v>
      </c>
      <c r="G32" s="17">
        <v>20159.2</v>
      </c>
      <c r="H32" s="18">
        <f>6000+9522.58</f>
        <v>15522.58</v>
      </c>
      <c r="I32" s="17">
        <v>18523.2</v>
      </c>
      <c r="J32" s="18">
        <f>6000+8262.86</f>
        <v>14262.86</v>
      </c>
      <c r="K32" s="17">
        <v>11377.16</v>
      </c>
      <c r="L32" s="18">
        <v>8760.41</v>
      </c>
      <c r="M32" s="17"/>
      <c r="N32" s="18"/>
      <c r="O32" s="17"/>
      <c r="P32" s="18"/>
      <c r="Q32" s="17"/>
      <c r="R32" s="18"/>
      <c r="S32" s="17"/>
      <c r="T32" s="18"/>
      <c r="U32" s="17"/>
      <c r="V32" s="18"/>
      <c r="W32" s="17"/>
      <c r="X32" s="18"/>
      <c r="Y32" s="17"/>
      <c r="Z32" s="18"/>
    </row>
    <row r="33" spans="1:26" s="22" customFormat="1" ht="16.2" thickBot="1" x14ac:dyDescent="0.35">
      <c r="A33" s="37" t="s">
        <v>23</v>
      </c>
      <c r="B33" s="38"/>
      <c r="C33" s="33">
        <f>SUM(C6:C32)</f>
        <v>498658.08</v>
      </c>
      <c r="D33" s="25">
        <f t="shared" ref="D33:Z33" si="0">SUM(D6:D32)</f>
        <v>380116.68999999994</v>
      </c>
      <c r="E33" s="23">
        <f t="shared" si="0"/>
        <v>780978.16000000015</v>
      </c>
      <c r="F33" s="23">
        <f t="shared" si="0"/>
        <v>598203.5</v>
      </c>
      <c r="G33" s="23">
        <f t="shared" si="0"/>
        <v>632223.61999999988</v>
      </c>
      <c r="H33" s="23">
        <f t="shared" si="0"/>
        <v>486812.18000000005</v>
      </c>
      <c r="I33" s="23">
        <f t="shared" si="0"/>
        <v>653895.47</v>
      </c>
      <c r="J33" s="23">
        <f t="shared" si="0"/>
        <v>501365.20999999996</v>
      </c>
      <c r="K33" s="23">
        <f t="shared" si="0"/>
        <v>637199.54</v>
      </c>
      <c r="L33" s="23">
        <f t="shared" si="0"/>
        <v>484141.13999999996</v>
      </c>
      <c r="M33" s="23">
        <f t="shared" si="0"/>
        <v>704707.47</v>
      </c>
      <c r="N33" s="23">
        <f t="shared" si="0"/>
        <v>542623.86000000022</v>
      </c>
      <c r="O33" s="23">
        <f t="shared" si="0"/>
        <v>653663.28999999992</v>
      </c>
      <c r="P33" s="23">
        <f t="shared" si="0"/>
        <v>503320.74</v>
      </c>
      <c r="Q33" s="23">
        <f t="shared" si="0"/>
        <v>690879.09</v>
      </c>
      <c r="R33" s="23">
        <f t="shared" si="0"/>
        <v>531976.91</v>
      </c>
      <c r="S33" s="23">
        <f t="shared" si="0"/>
        <v>763360.72000000009</v>
      </c>
      <c r="T33" s="23">
        <f t="shared" si="0"/>
        <v>587787.68999999994</v>
      </c>
      <c r="U33" s="23">
        <f t="shared" si="0"/>
        <v>779964.56</v>
      </c>
      <c r="V33" s="23">
        <f t="shared" si="0"/>
        <v>592265.59</v>
      </c>
      <c r="W33" s="23">
        <f t="shared" si="0"/>
        <v>619421.78</v>
      </c>
      <c r="X33" s="23">
        <f t="shared" si="0"/>
        <v>474577.77</v>
      </c>
      <c r="Y33" s="23">
        <f t="shared" si="0"/>
        <v>699014.16999999993</v>
      </c>
      <c r="Z33" s="23">
        <f t="shared" si="0"/>
        <v>538237.93999999983</v>
      </c>
    </row>
  </sheetData>
  <mergeCells count="15">
    <mergeCell ref="Y4:Z4"/>
    <mergeCell ref="M4:N4"/>
    <mergeCell ref="O4:P4"/>
    <mergeCell ref="Q4:R4"/>
    <mergeCell ref="S4:T4"/>
    <mergeCell ref="U4:V4"/>
    <mergeCell ref="W4:X4"/>
    <mergeCell ref="A4:A5"/>
    <mergeCell ref="A33:B33"/>
    <mergeCell ref="K4:L4"/>
    <mergeCell ref="C4:D4"/>
    <mergeCell ref="B4:B5"/>
    <mergeCell ref="E4:F4"/>
    <mergeCell ref="G4:H4"/>
    <mergeCell ref="I4:J4"/>
  </mergeCells>
  <pageMargins left="0.7" right="0.7" top="0.75" bottom="0.75" header="0.3" footer="0.3"/>
  <pageSetup paperSize="9" scale="3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klient</dc:creator>
  <cp:lastModifiedBy>Користувач Windows</cp:lastModifiedBy>
  <cp:lastPrinted>2026-03-06T08:51:19Z</cp:lastPrinted>
  <dcterms:created xsi:type="dcterms:W3CDTF">2015-06-05T18:19:34Z</dcterms:created>
  <dcterms:modified xsi:type="dcterms:W3CDTF">2026-03-06T08:51:26Z</dcterms:modified>
</cp:coreProperties>
</file>