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Мінахіна Н.С\Публічні запити\"/>
    </mc:Choice>
  </mc:AlternateContent>
  <xr:revisionPtr revIDLastSave="0" documentId="13_ncr:1_{DCC6A82A-90DE-4090-A35A-2DBE5A5C4BF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34" i="1" l="1"/>
  <c r="AB34" i="1"/>
  <c r="Z34" i="1"/>
  <c r="X34" i="1"/>
  <c r="V34" i="1"/>
  <c r="T34" i="1"/>
  <c r="R34" i="1"/>
  <c r="P34" i="1"/>
  <c r="N34" i="1"/>
  <c r="L34" i="1"/>
  <c r="J34" i="1"/>
  <c r="H34" i="1"/>
  <c r="F34" i="1"/>
  <c r="D34" i="1"/>
  <c r="AD33" i="1"/>
  <c r="AB33" i="1"/>
  <c r="Z33" i="1"/>
  <c r="X33" i="1"/>
  <c r="V33" i="1"/>
  <c r="T33" i="1"/>
  <c r="R33" i="1"/>
  <c r="P33" i="1"/>
  <c r="N33" i="1"/>
  <c r="L33" i="1"/>
  <c r="J33" i="1"/>
  <c r="H33" i="1"/>
  <c r="F33" i="1"/>
  <c r="D33" i="1"/>
  <c r="AD31" i="1"/>
  <c r="AB31" i="1"/>
  <c r="Z31" i="1"/>
  <c r="X31" i="1"/>
  <c r="V31" i="1"/>
  <c r="T31" i="1"/>
  <c r="R31" i="1"/>
  <c r="P31" i="1"/>
  <c r="N31" i="1"/>
  <c r="L31" i="1"/>
  <c r="H31" i="1"/>
  <c r="AD30" i="1"/>
  <c r="AB30" i="1"/>
  <c r="Z30" i="1"/>
  <c r="X30" i="1"/>
  <c r="V30" i="1"/>
  <c r="T30" i="1"/>
  <c r="R30" i="1"/>
  <c r="P30" i="1"/>
  <c r="N30" i="1"/>
  <c r="L30" i="1"/>
  <c r="J30" i="1"/>
  <c r="H30" i="1"/>
  <c r="F30" i="1"/>
  <c r="D30" i="1"/>
  <c r="AD28" i="1"/>
  <c r="AB28" i="1"/>
  <c r="Z28" i="1"/>
  <c r="AD29" i="1"/>
  <c r="AB29" i="1"/>
  <c r="Z29" i="1"/>
  <c r="X29" i="1"/>
  <c r="V29" i="1"/>
  <c r="T29" i="1"/>
  <c r="R29" i="1"/>
  <c r="P29" i="1"/>
  <c r="N29" i="1"/>
  <c r="L29" i="1"/>
  <c r="J29" i="1"/>
  <c r="H29" i="1"/>
  <c r="F29" i="1"/>
  <c r="D29" i="1"/>
  <c r="X28" i="1"/>
  <c r="V28" i="1"/>
  <c r="T28" i="1"/>
  <c r="R28" i="1"/>
  <c r="P28" i="1"/>
  <c r="N28" i="1"/>
  <c r="L28" i="1"/>
  <c r="J28" i="1"/>
  <c r="H28" i="1"/>
  <c r="F28" i="1"/>
  <c r="D28" i="1"/>
  <c r="AD26" i="1"/>
  <c r="AB26" i="1"/>
  <c r="Z26" i="1"/>
  <c r="X26" i="1"/>
  <c r="V26" i="1"/>
  <c r="T26" i="1"/>
  <c r="R26" i="1"/>
  <c r="P26" i="1"/>
  <c r="J26" i="1"/>
  <c r="H26" i="1"/>
  <c r="AD24" i="1"/>
  <c r="AD23" i="1"/>
  <c r="AD25" i="1"/>
  <c r="AB25" i="1"/>
  <c r="X25" i="1"/>
  <c r="V25" i="1"/>
  <c r="T25" i="1"/>
  <c r="R25" i="1"/>
  <c r="P25" i="1"/>
  <c r="N25" i="1"/>
  <c r="L25" i="1"/>
  <c r="J25" i="1"/>
  <c r="H25" i="1"/>
  <c r="D25" i="1"/>
  <c r="AB24" i="1"/>
  <c r="Z24" i="1"/>
  <c r="X24" i="1"/>
  <c r="V24" i="1"/>
  <c r="T24" i="1"/>
  <c r="R24" i="1"/>
  <c r="P24" i="1"/>
  <c r="N24" i="1"/>
  <c r="L24" i="1"/>
  <c r="J24" i="1"/>
  <c r="H24" i="1"/>
  <c r="F24" i="1"/>
  <c r="AB23" i="1"/>
  <c r="Z23" i="1"/>
  <c r="X23" i="1"/>
  <c r="V23" i="1"/>
  <c r="T23" i="1"/>
  <c r="R23" i="1"/>
  <c r="P23" i="1"/>
  <c r="N23" i="1"/>
  <c r="L23" i="1"/>
  <c r="J23" i="1"/>
  <c r="H23" i="1"/>
  <c r="F23" i="1"/>
  <c r="D23" i="1"/>
  <c r="AD22" i="1"/>
  <c r="AB22" i="1"/>
  <c r="Z22" i="1"/>
  <c r="X22" i="1"/>
  <c r="V22" i="1"/>
  <c r="T22" i="1"/>
  <c r="R22" i="1"/>
  <c r="P22" i="1"/>
  <c r="N22" i="1"/>
  <c r="L22" i="1"/>
  <c r="J22" i="1"/>
  <c r="H22" i="1"/>
  <c r="D22" i="1"/>
  <c r="AD21" i="1"/>
  <c r="AB21" i="1"/>
  <c r="Z21" i="1"/>
  <c r="X21" i="1"/>
  <c r="V21" i="1"/>
  <c r="T21" i="1"/>
  <c r="R21" i="1"/>
  <c r="P21" i="1"/>
  <c r="N21" i="1"/>
  <c r="L21" i="1"/>
  <c r="J21" i="1"/>
  <c r="H21" i="1"/>
  <c r="F21" i="1"/>
  <c r="D21" i="1"/>
  <c r="AD19" i="1"/>
  <c r="AB19" i="1"/>
  <c r="Z19" i="1"/>
  <c r="X19" i="1"/>
  <c r="V19" i="1"/>
  <c r="T19" i="1"/>
  <c r="R19" i="1"/>
  <c r="N19" i="1"/>
  <c r="L19" i="1"/>
  <c r="J19" i="1"/>
  <c r="H19" i="1"/>
  <c r="AB18" i="1"/>
  <c r="Z18" i="1"/>
  <c r="P18" i="1"/>
  <c r="D18" i="1"/>
  <c r="AD17" i="1"/>
  <c r="AB17" i="1"/>
  <c r="Z17" i="1"/>
  <c r="X17" i="1"/>
  <c r="V17" i="1"/>
  <c r="T17" i="1"/>
  <c r="R17" i="1"/>
  <c r="P17" i="1"/>
  <c r="N17" i="1"/>
  <c r="L17" i="1"/>
  <c r="J16" i="1"/>
  <c r="H16" i="1"/>
  <c r="F16" i="1"/>
  <c r="D16" i="1"/>
  <c r="AD15" i="1"/>
  <c r="AB15" i="1"/>
  <c r="Z15" i="1"/>
  <c r="X15" i="1"/>
  <c r="V15" i="1"/>
  <c r="T15" i="1"/>
  <c r="R15" i="1"/>
  <c r="P15" i="1"/>
  <c r="N15" i="1"/>
  <c r="L15" i="1"/>
  <c r="J15" i="1"/>
  <c r="H15" i="1"/>
  <c r="F15" i="1"/>
  <c r="D15" i="1"/>
  <c r="AD13" i="1"/>
  <c r="AB13" i="1"/>
  <c r="Z13" i="1"/>
  <c r="X13" i="1"/>
  <c r="V13" i="1"/>
  <c r="T13" i="1"/>
  <c r="AD12" i="1"/>
  <c r="AB12" i="1"/>
  <c r="Z12" i="1"/>
  <c r="X12" i="1"/>
  <c r="V12" i="1"/>
  <c r="T12" i="1"/>
  <c r="R12" i="1"/>
  <c r="P12" i="1"/>
  <c r="N12" i="1"/>
  <c r="L12" i="1"/>
  <c r="J12" i="1"/>
  <c r="H12" i="1"/>
  <c r="F12" i="1"/>
  <c r="D12" i="1"/>
  <c r="AD11" i="1"/>
  <c r="AB11" i="1"/>
  <c r="Z11" i="1"/>
  <c r="X11" i="1"/>
  <c r="V11" i="1"/>
  <c r="T11" i="1"/>
  <c r="R11" i="1"/>
  <c r="P11" i="1"/>
  <c r="N11" i="1"/>
  <c r="L11" i="1"/>
  <c r="J11" i="1"/>
  <c r="H11" i="1"/>
  <c r="F11" i="1"/>
  <c r="D11" i="1"/>
  <c r="AD10" i="1"/>
  <c r="AB10" i="1"/>
  <c r="Z10" i="1"/>
  <c r="X10" i="1"/>
  <c r="V10" i="1"/>
  <c r="T10" i="1"/>
  <c r="R10" i="1"/>
  <c r="P10" i="1"/>
  <c r="N10" i="1"/>
  <c r="L10" i="1"/>
  <c r="J10" i="1"/>
  <c r="H10" i="1"/>
  <c r="F10" i="1"/>
  <c r="D10" i="1"/>
  <c r="AD8" i="1"/>
  <c r="AB8" i="1"/>
  <c r="Z8" i="1"/>
  <c r="X8" i="1"/>
  <c r="V8" i="1"/>
  <c r="T8" i="1"/>
  <c r="R8" i="1"/>
  <c r="P8" i="1"/>
  <c r="N8" i="1"/>
  <c r="L8" i="1"/>
  <c r="AD7" i="1"/>
  <c r="AB7" i="1"/>
  <c r="Z7" i="1"/>
  <c r="X7" i="1"/>
  <c r="V7" i="1"/>
  <c r="T7" i="1"/>
  <c r="R7" i="1"/>
  <c r="P7" i="1"/>
  <c r="N7" i="1"/>
  <c r="L7" i="1"/>
  <c r="J7" i="1"/>
  <c r="H7" i="1"/>
  <c r="F7" i="1"/>
  <c r="D7" i="1"/>
  <c r="AD6" i="1"/>
  <c r="AB6" i="1"/>
  <c r="Z6" i="1"/>
  <c r="X6" i="1"/>
  <c r="V6" i="1"/>
  <c r="T6" i="1"/>
  <c r="R6" i="1"/>
  <c r="P6" i="1"/>
  <c r="N6" i="1"/>
  <c r="L6" i="1"/>
  <c r="J6" i="1"/>
  <c r="H6" i="1"/>
  <c r="F6" i="1"/>
  <c r="D6" i="1"/>
  <c r="AD5" i="1" l="1"/>
  <c r="AB5" i="1"/>
  <c r="Z5" i="1"/>
  <c r="X5" i="1"/>
  <c r="V5" i="1"/>
  <c r="T5" i="1"/>
  <c r="R5" i="1"/>
  <c r="P5" i="1"/>
  <c r="N5" i="1"/>
  <c r="L5" i="1"/>
  <c r="J5" i="1"/>
  <c r="H5" i="1"/>
  <c r="F5" i="1"/>
  <c r="D5" i="1"/>
</calcChain>
</file>

<file path=xl/sharedStrings.xml><?xml version="1.0" encoding="utf-8"?>
<sst xmlns="http://schemas.openxmlformats.org/spreadsheetml/2006/main" count="96" uniqueCount="45">
  <si>
    <t>Посада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</si>
  <si>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</si>
  <si>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</si>
  <si>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</si>
  <si>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</si>
  <si>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</si>
  <si>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</si>
  <si>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</si>
  <si>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</si>
  <si>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</si>
  <si>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</si>
  <si>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</si>
  <si>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</si>
  <si>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Нараховано</t>
  </si>
  <si>
    <t>2025 рік</t>
  </si>
  <si>
    <t>2026 рік</t>
  </si>
  <si>
    <t>Начальник Управління</t>
  </si>
  <si>
    <t>1-ІІ-2</t>
  </si>
  <si>
    <t>Класифікаційний код посади</t>
  </si>
  <si>
    <t>Головний спеціаліст з питань персоналу</t>
  </si>
  <si>
    <t>24-VII-2</t>
  </si>
  <si>
    <t>19-VII-2</t>
  </si>
  <si>
    <t xml:space="preserve">Головний спеціаліст з діловодства </t>
  </si>
  <si>
    <t>8-VII-2</t>
  </si>
  <si>
    <t>Відділ організації надання медичної допомоги</t>
  </si>
  <si>
    <t>Головний спеціаліст</t>
  </si>
  <si>
    <t>9-VII-2</t>
  </si>
  <si>
    <t>Провідний інспектор                   0,5 ставки</t>
  </si>
  <si>
    <t>Відділ економіки, моніторингу та виконання загальнодержавних і регіональних програм</t>
  </si>
  <si>
    <t>Заступник нчальника Управлінння - начальник відділу</t>
  </si>
  <si>
    <t>26-VII-2</t>
  </si>
  <si>
    <t>Відділ фінансового забезпечення</t>
  </si>
  <si>
    <t>Начальник відділу</t>
  </si>
  <si>
    <t>26-V-2</t>
  </si>
  <si>
    <t>Заступник начальника відділу</t>
  </si>
  <si>
    <t>4-VII-2</t>
  </si>
  <si>
    <t>Відділ управління медичними кадрами та роботи зі зверненнями громадян</t>
  </si>
  <si>
    <t>9-V-2</t>
  </si>
  <si>
    <t>Режимно-секретний сектор</t>
  </si>
  <si>
    <t>Завідувач сектору</t>
  </si>
  <si>
    <t>21-V-2</t>
  </si>
  <si>
    <t>21-VII-2</t>
  </si>
  <si>
    <r>
      <t>Виплачено</t>
    </r>
    <r>
      <rPr>
        <sz val="8"/>
        <color theme="1"/>
        <rFont val="Calibri"/>
        <family val="2"/>
        <charset val="204"/>
      </rPr>
      <t>*</t>
    </r>
  </si>
  <si>
    <r>
      <rPr>
        <sz val="11"/>
        <color theme="1"/>
        <rFont val="Calibri"/>
        <family val="2"/>
        <charset val="204"/>
      </rPr>
      <t>*</t>
    </r>
    <r>
      <rPr>
        <sz val="11"/>
        <color theme="1"/>
        <rFont val="Calibri"/>
        <family val="2"/>
      </rPr>
      <t xml:space="preserve"> Сума заробітної плати після утримання податків </t>
    </r>
  </si>
  <si>
    <t>Головний спеціаліст-юристконсульт,                                в.о.заступника начальника Управління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</si>
</sst>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theme="1"/>
      <name val="Calibri"/>
      <family val="2"/>
      <charset val="204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/>
    <xf numFmtId="0" fontId="5" fillId="0" borderId="1" xfId="0" applyFont="1" applyBorder="1"/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4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D36"/>
  <sheetViews>
    <sheetView tabSelected="1" workbookViewId="0">
      <selection activeCell="A8" sqref="A8"/>
    </sheetView>
  </sheetViews>
  <sheetFormatPr defaultRowHeight="15" x14ac:dyDescent="0.25"/>
  <cols>
    <col min="1" max="1" width="29.42578125" customWidth="1"/>
    <col min="2" max="2" width="14.85546875" customWidth="1"/>
    <col min="3" max="3" width="8.7109375" customWidth="1"/>
    <col min="23" max="23" width="9.7109375" customWidth="1"/>
  </cols>
  <sheetData>
    <row r="2" spans="1:30" ht="31.5" customHeight="1" x14ac:dyDescent="0.45">
      <c r="A2" s="1" t="s">
        <v>0</v>
      </c>
      <c r="B2" s="2" t="s">
        <v>18</v>
      </c>
      <c r="C2" s="3" t="s">
        <v>14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 t="s">
        <v>15</v>
      </c>
      <c r="AB2" s="3"/>
      <c r="AC2" s="3"/>
      <c r="AD2" s="3"/>
    </row>
    <row r="3" spans="1:30" ht="15.75" x14ac:dyDescent="0.25">
      <c r="A3" s="1"/>
      <c r="B3" s="2"/>
      <c r="C3" s="4" t="s">
        <v>1</v>
      </c>
      <c r="D3" s="4"/>
      <c r="E3" s="4" t="s">
        <v>2</v>
      </c>
      <c r="F3" s="4"/>
      <c r="G3" s="4" t="s">
        <v>3</v>
      </c>
      <c r="H3" s="4"/>
      <c r="I3" s="4" t="s">
        <v>4</v>
      </c>
      <c r="J3" s="4"/>
      <c r="K3" s="4" t="s">
        <v>5</v>
      </c>
      <c r="L3" s="4"/>
      <c r="M3" s="4" t="s">
        <v>6</v>
      </c>
      <c r="N3" s="4"/>
      <c r="O3" s="4" t="s">
        <v>7</v>
      </c>
      <c r="P3" s="4"/>
      <c r="Q3" s="4" t="s">
        <v>8</v>
      </c>
      <c r="R3" s="4"/>
      <c r="S3" s="4" t="s">
        <v>9</v>
      </c>
      <c r="T3" s="4"/>
      <c r="U3" s="4" t="s">
        <v>10</v>
      </c>
      <c r="V3" s="4"/>
      <c r="W3" s="4" t="s">
        <v>11</v>
      </c>
      <c r="X3" s="4"/>
      <c r="Y3" s="4" t="s">
        <v>12</v>
      </c>
      <c r="Z3" s="4"/>
      <c r="AA3" s="4" t="s">
        <v>1</v>
      </c>
      <c r="AB3" s="4"/>
      <c r="AC3" s="4" t="s">
        <v>2</v>
      </c>
      <c r="AD3" s="4"/>
    </row>
    <row r="4" spans="1:30" x14ac:dyDescent="0.25">
      <c r="A4" s="1"/>
      <c r="B4" s="2"/>
      <c r="C4" s="5" t="s">
        <v>13</v>
      </c>
      <c r="D4" s="5" t="s">
        <v>42</v>
      </c>
      <c r="E4" s="5" t="s">
        <v>13</v>
      </c>
      <c r="F4" s="5" t="s">
        <v>42</v>
      </c>
      <c r="G4" s="5" t="s">
        <v>13</v>
      </c>
      <c r="H4" s="5" t="s">
        <v>42</v>
      </c>
      <c r="I4" s="5" t="s">
        <v>13</v>
      </c>
      <c r="J4" s="5" t="s">
        <v>42</v>
      </c>
      <c r="K4" s="5" t="s">
        <v>13</v>
      </c>
      <c r="L4" s="5" t="s">
        <v>42</v>
      </c>
      <c r="M4" s="5" t="s">
        <v>13</v>
      </c>
      <c r="N4" s="5" t="s">
        <v>42</v>
      </c>
      <c r="O4" s="5" t="s">
        <v>13</v>
      </c>
      <c r="P4" s="5" t="s">
        <v>42</v>
      </c>
      <c r="Q4" s="5" t="s">
        <v>13</v>
      </c>
      <c r="R4" s="5" t="s">
        <v>42</v>
      </c>
      <c r="S4" s="5" t="s">
        <v>13</v>
      </c>
      <c r="T4" s="5" t="s">
        <v>42</v>
      </c>
      <c r="U4" s="5" t="s">
        <v>13</v>
      </c>
      <c r="V4" s="5" t="s">
        <v>42</v>
      </c>
      <c r="W4" s="5" t="s">
        <v>13</v>
      </c>
      <c r="X4" s="5" t="s">
        <v>42</v>
      </c>
      <c r="Y4" s="5" t="s">
        <v>13</v>
      </c>
      <c r="Z4" s="5" t="s">
        <v>42</v>
      </c>
      <c r="AA4" s="5" t="s">
        <v>13</v>
      </c>
      <c r="AB4" s="5" t="s">
        <v>42</v>
      </c>
      <c r="AC4" s="5" t="s">
        <v>13</v>
      </c>
      <c r="AD4" s="5" t="s">
        <v>42</v>
      </c>
    </row>
    <row r="5" spans="1:30" x14ac:dyDescent="0.25">
      <c r="A5" s="6" t="s">
        <v>16</v>
      </c>
      <c r="B5" s="6" t="s">
        <v>17</v>
      </c>
      <c r="C5" s="6">
        <v>26950.9</v>
      </c>
      <c r="D5" s="6">
        <f>10200+10282.68</f>
        <v>20482.68</v>
      </c>
      <c r="E5" s="6">
        <v>30993.56</v>
      </c>
      <c r="F5" s="6">
        <f>11800+11755.1</f>
        <v>23555.1</v>
      </c>
      <c r="G5" s="6">
        <v>46498.75</v>
      </c>
      <c r="H5" s="6">
        <f>11350+23989.04</f>
        <v>35339.040000000001</v>
      </c>
      <c r="I5" s="6">
        <v>30686.44</v>
      </c>
      <c r="J5" s="6">
        <f>11650+11696.8</f>
        <v>23346.799999999999</v>
      </c>
      <c r="K5" s="6">
        <v>30993.56</v>
      </c>
      <c r="L5" s="6">
        <f>11900+11655.1</f>
        <v>23555.1</v>
      </c>
      <c r="M5" s="6">
        <v>38746.160000000003</v>
      </c>
      <c r="N5" s="6">
        <f>11350+18097.08</f>
        <v>29447.08</v>
      </c>
      <c r="O5" s="6">
        <v>31218.1</v>
      </c>
      <c r="P5" s="6">
        <f>11400+12325.75</f>
        <v>23725.75</v>
      </c>
      <c r="Q5" s="6">
        <v>60934.76</v>
      </c>
      <c r="R5" s="6">
        <f>46310.41</f>
        <v>46310.41</v>
      </c>
      <c r="S5" s="6">
        <v>31226.79</v>
      </c>
      <c r="T5" s="6">
        <f>11900+11832.36</f>
        <v>23732.36</v>
      </c>
      <c r="U5" s="6">
        <v>31226.79</v>
      </c>
      <c r="V5" s="6">
        <f>11400+12332.36</f>
        <v>23732.36</v>
      </c>
      <c r="W5" s="6">
        <v>61720.35</v>
      </c>
      <c r="X5" s="6">
        <f>11750+11900+11425.11+11832.36</f>
        <v>46907.47</v>
      </c>
      <c r="Y5" s="6">
        <v>114494.52</v>
      </c>
      <c r="Z5" s="6">
        <f>12250+55500+6331.07+12934.75</f>
        <v>87015.82</v>
      </c>
      <c r="AA5" s="6">
        <v>22989.38</v>
      </c>
      <c r="AB5" s="6">
        <f>6500+10971.94</f>
        <v>17471.940000000002</v>
      </c>
      <c r="AC5" s="6">
        <v>87945.05</v>
      </c>
      <c r="AD5" s="6">
        <f>42900+17900+6038.23</f>
        <v>66838.23</v>
      </c>
    </row>
    <row r="6" spans="1:30" ht="29.25" customHeight="1" x14ac:dyDescent="0.25">
      <c r="A6" s="7" t="s">
        <v>19</v>
      </c>
      <c r="B6" s="6" t="s">
        <v>20</v>
      </c>
      <c r="C6" s="6">
        <v>12055</v>
      </c>
      <c r="D6" s="6">
        <f>5250+3726.48</f>
        <v>8976.48</v>
      </c>
      <c r="E6" s="6">
        <v>15611.5</v>
      </c>
      <c r="F6" s="6">
        <f>4600+7264.73</f>
        <v>11864.73</v>
      </c>
      <c r="G6" s="6">
        <v>19168</v>
      </c>
      <c r="H6" s="6">
        <f>4400+10167.68</f>
        <v>14567.68</v>
      </c>
      <c r="I6" s="6">
        <v>16003.11</v>
      </c>
      <c r="J6" s="6">
        <f>3550+5383.53+3302.34</f>
        <v>12235.869999999999</v>
      </c>
      <c r="K6" s="6">
        <v>15611.5</v>
      </c>
      <c r="L6" s="6">
        <f>4600+7264.73</f>
        <v>11864.73</v>
      </c>
      <c r="M6" s="6">
        <v>15826.02</v>
      </c>
      <c r="N6" s="6">
        <f>4500+7527.78</f>
        <v>12027.779999999999</v>
      </c>
      <c r="O6" s="6">
        <v>28400.43</v>
      </c>
      <c r="P6" s="6">
        <f>2450+6896.33+12238</f>
        <v>21584.33</v>
      </c>
      <c r="Q6" s="6">
        <v>18564.48</v>
      </c>
      <c r="R6" s="6">
        <f>7950+9159.01</f>
        <v>17109.010000000002</v>
      </c>
      <c r="S6" s="6">
        <v>28103.25</v>
      </c>
      <c r="T6" s="6">
        <f>2550+18808.48</f>
        <v>21358.48</v>
      </c>
      <c r="U6" s="6">
        <v>14537.74</v>
      </c>
      <c r="V6" s="6">
        <f>5250+5798.68</f>
        <v>11048.68</v>
      </c>
      <c r="W6" s="6">
        <v>22099.01</v>
      </c>
      <c r="X6" s="6">
        <f>3700+4700+4743.25+3652</f>
        <v>16795.25</v>
      </c>
      <c r="Y6" s="6">
        <v>26372.13</v>
      </c>
      <c r="Z6" s="6">
        <f>4950+2900+6584.43+5608.39</f>
        <v>20042.82</v>
      </c>
      <c r="AA6" s="6">
        <v>12292.1</v>
      </c>
      <c r="AB6" s="6">
        <f>5150+4191.99</f>
        <v>9341.99</v>
      </c>
      <c r="AC6" s="6">
        <v>20499.03</v>
      </c>
      <c r="AD6" s="6">
        <f>8000+5600+1979.26</f>
        <v>15579.26</v>
      </c>
    </row>
    <row r="7" spans="1:30" ht="60" customHeight="1" x14ac:dyDescent="0.25">
      <c r="A7" s="7" t="s">
        <v>44</v>
      </c>
      <c r="B7" s="6" t="s">
        <v>21</v>
      </c>
      <c r="C7" s="6">
        <v>29207.26</v>
      </c>
      <c r="D7" s="6">
        <f>12600+9597.52</f>
        <v>22197.52</v>
      </c>
      <c r="E7" s="6">
        <v>29207.26</v>
      </c>
      <c r="F7" s="6">
        <f>11100+11097.52</f>
        <v>22197.52</v>
      </c>
      <c r="G7" s="6">
        <v>37387.050000000003</v>
      </c>
      <c r="H7" s="6">
        <f>10800+17614.16</f>
        <v>28414.16</v>
      </c>
      <c r="I7" s="6">
        <v>33297.160000000003</v>
      </c>
      <c r="J7" s="6">
        <f>11200+14105.84</f>
        <v>25305.84</v>
      </c>
      <c r="K7" s="6">
        <v>33297.160000000003</v>
      </c>
      <c r="L7" s="6">
        <f>11200+14105.84</f>
        <v>25305.84</v>
      </c>
      <c r="M7" s="6">
        <v>28703.87</v>
      </c>
      <c r="N7" s="6">
        <f>10900+10914.95</f>
        <v>21814.95</v>
      </c>
      <c r="O7" s="6">
        <v>48891.360000000001</v>
      </c>
      <c r="P7" s="6">
        <f>5850+11527.44+19780</f>
        <v>37157.440000000002</v>
      </c>
      <c r="Q7" s="6">
        <v>31385.439999999999</v>
      </c>
      <c r="R7" s="6">
        <f>11750+12102.94</f>
        <v>23852.940000000002</v>
      </c>
      <c r="S7" s="6">
        <v>33430.39</v>
      </c>
      <c r="T7" s="6">
        <f>11200+14207.1</f>
        <v>25407.1</v>
      </c>
      <c r="U7" s="6">
        <v>66655.69</v>
      </c>
      <c r="V7" s="6">
        <f>36300+14358.33</f>
        <v>50658.33</v>
      </c>
      <c r="W7" s="6">
        <v>62979.54</v>
      </c>
      <c r="X7" s="6">
        <f>11250+7900+21747.22+6967.23</f>
        <v>47864.45</v>
      </c>
      <c r="Y7" s="6">
        <v>36653.49</v>
      </c>
      <c r="Z7" s="6">
        <f>9750+650+12649.75+4806.91</f>
        <v>27856.66</v>
      </c>
      <c r="AA7" s="6">
        <v>29479.919999999998</v>
      </c>
      <c r="AB7" s="6">
        <f>7100+15304.73</f>
        <v>22404.73</v>
      </c>
      <c r="AC7" s="6">
        <v>73061.679999999993</v>
      </c>
      <c r="AD7" s="6">
        <f>36000+14600+4926.89</f>
        <v>55526.89</v>
      </c>
    </row>
    <row r="8" spans="1:30" ht="30" x14ac:dyDescent="0.25">
      <c r="A8" s="7" t="s">
        <v>22</v>
      </c>
      <c r="B8" s="6" t="s">
        <v>23</v>
      </c>
      <c r="C8" s="6"/>
      <c r="D8" s="6"/>
      <c r="E8" s="6"/>
      <c r="F8" s="6"/>
      <c r="G8" s="6"/>
      <c r="H8" s="6"/>
      <c r="I8" s="6"/>
      <c r="J8" s="6"/>
      <c r="K8" s="6">
        <v>12370.8</v>
      </c>
      <c r="L8" s="6">
        <f>3950+5451.81</f>
        <v>9401.8100000000013</v>
      </c>
      <c r="M8" s="6">
        <v>13601.7</v>
      </c>
      <c r="N8" s="6">
        <f>3850+6487.28</f>
        <v>10337.279999999999</v>
      </c>
      <c r="O8" s="6">
        <v>13734.93</v>
      </c>
      <c r="P8" s="6">
        <f>3850+6588.54</f>
        <v>10438.540000000001</v>
      </c>
      <c r="Q8" s="6">
        <v>23550.03</v>
      </c>
      <c r="R8" s="6">
        <f>14550+3348.02</f>
        <v>17898.02</v>
      </c>
      <c r="S8" s="6">
        <v>27019.83</v>
      </c>
      <c r="T8" s="6">
        <f>20535.07</f>
        <v>20535.07</v>
      </c>
      <c r="U8" s="6">
        <v>13734.93</v>
      </c>
      <c r="V8" s="6">
        <f>3850+6588.54</f>
        <v>10438.540000000001</v>
      </c>
      <c r="W8" s="6">
        <v>20951.23</v>
      </c>
      <c r="X8" s="6">
        <f>8000+3834.84+4088.1</f>
        <v>15922.94</v>
      </c>
      <c r="Y8" s="6">
        <v>27136.63</v>
      </c>
      <c r="Z8" s="6">
        <f>4150+4200+6238.54+6035.3</f>
        <v>20623.84</v>
      </c>
      <c r="AA8" s="6">
        <v>10509</v>
      </c>
      <c r="AB8" s="6">
        <f>4400+3586.84</f>
        <v>7986.84</v>
      </c>
      <c r="AC8" s="6">
        <v>15627.3</v>
      </c>
      <c r="AD8" s="6">
        <f>6000+4500+1376.75</f>
        <v>11876.75</v>
      </c>
    </row>
    <row r="9" spans="1:30" ht="27" customHeight="1" x14ac:dyDescent="0.25">
      <c r="A9" s="8" t="s">
        <v>24</v>
      </c>
      <c r="B9" s="8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</row>
    <row r="10" spans="1:30" x14ac:dyDescent="0.25">
      <c r="A10" s="7" t="s">
        <v>25</v>
      </c>
      <c r="B10" s="6" t="s">
        <v>26</v>
      </c>
      <c r="C10" s="6">
        <v>17404.919999999998</v>
      </c>
      <c r="D10" s="6">
        <f>7500+5727.73</f>
        <v>13227.73</v>
      </c>
      <c r="E10" s="6">
        <v>17404.919999999998</v>
      </c>
      <c r="F10" s="6">
        <f>6600+6627.73</f>
        <v>13227.73</v>
      </c>
      <c r="G10" s="6">
        <v>36191.85</v>
      </c>
      <c r="H10" s="6">
        <f>20300+7227.88</f>
        <v>27527.88</v>
      </c>
      <c r="I10" s="6">
        <v>22861.32</v>
      </c>
      <c r="J10" s="6">
        <f>6800+3637.46+6937.15</f>
        <v>17374.61</v>
      </c>
      <c r="K10" s="6">
        <v>19788.63</v>
      </c>
      <c r="L10" s="6">
        <f>5550+9489.35</f>
        <v>15039.35</v>
      </c>
      <c r="M10" s="6">
        <v>19040.88</v>
      </c>
      <c r="N10" s="6">
        <f>6450+8021.07</f>
        <v>14471.07</v>
      </c>
      <c r="O10" s="6">
        <v>19174.11</v>
      </c>
      <c r="P10" s="6">
        <f>6500+8072.32</f>
        <v>14572.32</v>
      </c>
      <c r="Q10" s="6">
        <v>19174.11</v>
      </c>
      <c r="R10" s="6">
        <f>7100+7472.32</f>
        <v>14572.32</v>
      </c>
      <c r="S10" s="6">
        <v>40396.54</v>
      </c>
      <c r="T10" s="6">
        <f>6800+23901.36</f>
        <v>30701.360000000001</v>
      </c>
      <c r="U10" s="6">
        <v>18951.45</v>
      </c>
      <c r="V10" s="6">
        <f>10300+4103.11</f>
        <v>14403.11</v>
      </c>
      <c r="W10" s="6">
        <v>22964.21</v>
      </c>
      <c r="X10" s="6">
        <f>2000+6800+1916.59+6736.21</f>
        <v>17452.8</v>
      </c>
      <c r="Y10" s="6">
        <v>24736.51</v>
      </c>
      <c r="Z10" s="6">
        <f>2050+7100+7783.16+1866.58</f>
        <v>18799.739999999998</v>
      </c>
      <c r="AA10" s="6">
        <v>15863.45</v>
      </c>
      <c r="AB10" s="6">
        <f>7400+4694.33</f>
        <v>12094.33</v>
      </c>
      <c r="AC10" s="6">
        <v>35902.94</v>
      </c>
      <c r="AD10" s="6">
        <f>15000+7400+2347.3+2569.41</f>
        <v>27316.71</v>
      </c>
    </row>
    <row r="11" spans="1:30" x14ac:dyDescent="0.25">
      <c r="A11" s="7" t="s">
        <v>25</v>
      </c>
      <c r="B11" s="6" t="s">
        <v>26</v>
      </c>
      <c r="C11" s="6">
        <v>14378.32</v>
      </c>
      <c r="D11" s="6">
        <f>6250+4677.52</f>
        <v>10927.52</v>
      </c>
      <c r="E11" s="6">
        <v>14378.32</v>
      </c>
      <c r="F11" s="6">
        <f>5500+5427.52</f>
        <v>10927.52</v>
      </c>
      <c r="G11" s="6">
        <v>22558.12</v>
      </c>
      <c r="H11" s="6">
        <f>5500+11644.17</f>
        <v>17144.169999999998</v>
      </c>
      <c r="I11" s="6">
        <v>18468.22</v>
      </c>
      <c r="J11" s="6">
        <f>5500+8535.85</f>
        <v>14035.85</v>
      </c>
      <c r="K11" s="6">
        <v>18468.22</v>
      </c>
      <c r="L11" s="6">
        <f>5500+8535.85</f>
        <v>14035.85</v>
      </c>
      <c r="M11" s="6">
        <v>50890.34</v>
      </c>
      <c r="N11" s="6">
        <f>5250+33426.66</f>
        <v>38676.660000000003</v>
      </c>
      <c r="O11" s="6">
        <v>1439.7</v>
      </c>
      <c r="P11" s="6">
        <f>950.23+143.93</f>
        <v>1094.1600000000001</v>
      </c>
      <c r="Q11" s="6">
        <v>15768.09</v>
      </c>
      <c r="R11" s="6">
        <f>1050+10933.75</f>
        <v>11983.75</v>
      </c>
      <c r="S11" s="6">
        <v>35281.11</v>
      </c>
      <c r="T11" s="6">
        <f>5500+21313.64</f>
        <v>26813.64</v>
      </c>
      <c r="U11" s="6">
        <v>16556.5</v>
      </c>
      <c r="V11" s="6">
        <f>5250+7332.93</f>
        <v>12582.93</v>
      </c>
      <c r="W11" s="6">
        <v>22010.23</v>
      </c>
      <c r="X11" s="6">
        <f>2800+5600+2691.78+5636</f>
        <v>16727.78</v>
      </c>
      <c r="Y11" s="6">
        <v>28145.23</v>
      </c>
      <c r="Z11" s="6">
        <f>2900+5850+6940.2+5700.18</f>
        <v>21390.38</v>
      </c>
      <c r="AA11" s="6">
        <v>14746.43</v>
      </c>
      <c r="AB11" s="6">
        <f>6050+5157.29</f>
        <v>11207.29</v>
      </c>
      <c r="AC11" s="6">
        <v>28182.16</v>
      </c>
      <c r="AD11" s="6">
        <f>17300+3000+1118.44</f>
        <v>21418.44</v>
      </c>
    </row>
    <row r="12" spans="1:30" ht="30" x14ac:dyDescent="0.25">
      <c r="A12" s="7" t="s">
        <v>27</v>
      </c>
      <c r="B12" s="6"/>
      <c r="C12" s="6">
        <v>3603.5</v>
      </c>
      <c r="D12" s="6">
        <f>1400+1338.65</f>
        <v>2738.65</v>
      </c>
      <c r="E12" s="6">
        <v>4144.03</v>
      </c>
      <c r="F12" s="6">
        <f>1550+1599.46</f>
        <v>3149.46</v>
      </c>
      <c r="G12" s="6">
        <v>7144.03</v>
      </c>
      <c r="H12" s="6">
        <f>1500+3929.46</f>
        <v>5429.46</v>
      </c>
      <c r="I12" s="6">
        <v>5144.03</v>
      </c>
      <c r="J12" s="6">
        <f>1550+2359.46</f>
        <v>3909.46</v>
      </c>
      <c r="K12" s="6">
        <v>6144.03</v>
      </c>
      <c r="L12" s="6">
        <f>1550+3119.46</f>
        <v>4669.46</v>
      </c>
      <c r="M12" s="6">
        <v>5044.03</v>
      </c>
      <c r="N12" s="6">
        <f>1500+2333.46</f>
        <v>3833.46</v>
      </c>
      <c r="O12" s="6">
        <v>5812.42</v>
      </c>
      <c r="P12" s="6">
        <f>1500+2917.45</f>
        <v>4417.45</v>
      </c>
      <c r="Q12" s="6">
        <v>3354.69</v>
      </c>
      <c r="R12" s="6">
        <f>1050+1499.56</f>
        <v>2549.56</v>
      </c>
      <c r="S12" s="6">
        <v>8144.03</v>
      </c>
      <c r="T12" s="6">
        <f>1600+4589.46</f>
        <v>6189.46</v>
      </c>
      <c r="U12" s="6">
        <v>5644.03</v>
      </c>
      <c r="V12" s="6">
        <f>1500+2789.46</f>
        <v>4289.46</v>
      </c>
      <c r="W12" s="6">
        <v>7144.03</v>
      </c>
      <c r="X12" s="6">
        <f>2000+2280+1149.46</f>
        <v>5429.46</v>
      </c>
      <c r="Y12" s="6">
        <v>10466.93</v>
      </c>
      <c r="Z12" s="6">
        <f>3800+354.87+3800</f>
        <v>7954.87</v>
      </c>
      <c r="AA12" s="6">
        <v>3105.39</v>
      </c>
      <c r="AB12" s="6">
        <f>700+1660.1</f>
        <v>2360.1</v>
      </c>
      <c r="AC12" s="6">
        <v>4554.58</v>
      </c>
      <c r="AD12" s="6">
        <f>1750+1711.48</f>
        <v>3461.48</v>
      </c>
    </row>
    <row r="13" spans="1:30" ht="30" x14ac:dyDescent="0.25">
      <c r="A13" s="7" t="s">
        <v>27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>
        <v>1703.85</v>
      </c>
      <c r="R13" s="6">
        <v>1294.93</v>
      </c>
      <c r="S13" s="6">
        <v>9111.52</v>
      </c>
      <c r="T13" s="6">
        <f>1970+4954.75</f>
        <v>6924.75</v>
      </c>
      <c r="U13" s="6">
        <v>8111.52</v>
      </c>
      <c r="V13" s="6">
        <f>1850+4314.75</f>
        <v>6164.75</v>
      </c>
      <c r="W13" s="6">
        <v>10111.52</v>
      </c>
      <c r="X13" s="6">
        <f>2000+3800+1884.75</f>
        <v>7684.75</v>
      </c>
      <c r="Y13" s="6">
        <v>13384.48</v>
      </c>
      <c r="Z13" s="6">
        <f>2050+6070.86+2051.35</f>
        <v>10172.209999999999</v>
      </c>
      <c r="AA13" s="6">
        <v>9544.7000000000007</v>
      </c>
      <c r="AB13" s="6">
        <f>2100+5153.96</f>
        <v>7253.96</v>
      </c>
      <c r="AC13" s="6">
        <v>9544.7000000000007</v>
      </c>
      <c r="AD13" s="6">
        <f>2100+5153.96</f>
        <v>7253.96</v>
      </c>
    </row>
    <row r="14" spans="1:30" ht="45.75" customHeight="1" x14ac:dyDescent="0.25">
      <c r="A14" s="8" t="s">
        <v>28</v>
      </c>
      <c r="B14" s="8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</row>
    <row r="15" spans="1:30" ht="35.25" customHeight="1" x14ac:dyDescent="0.25">
      <c r="A15" s="7" t="s">
        <v>29</v>
      </c>
      <c r="B15" s="6" t="s">
        <v>17</v>
      </c>
      <c r="C15" s="6">
        <v>32715</v>
      </c>
      <c r="D15" s="6">
        <f>14200+10663.4</f>
        <v>24863.4</v>
      </c>
      <c r="E15" s="6">
        <v>32715</v>
      </c>
      <c r="F15" s="6">
        <f>12500+12363.4</f>
        <v>24863.4</v>
      </c>
      <c r="G15" s="6">
        <v>47445.01</v>
      </c>
      <c r="H15" s="6">
        <f>11950+24108.21</f>
        <v>36058.21</v>
      </c>
      <c r="I15" s="6">
        <v>40080</v>
      </c>
      <c r="J15" s="6">
        <f>12500+17960.8</f>
        <v>30460.799999999999</v>
      </c>
      <c r="K15" s="6">
        <v>40080</v>
      </c>
      <c r="L15" s="6">
        <f>12550+17910.8</f>
        <v>30460.799999999999</v>
      </c>
      <c r="M15" s="6">
        <v>32733.8</v>
      </c>
      <c r="N15" s="6">
        <f>12000+12877.69</f>
        <v>24877.690000000002</v>
      </c>
      <c r="O15" s="6">
        <v>36530.730000000003</v>
      </c>
      <c r="P15" s="6">
        <f>12000+15763.35</f>
        <v>27763.35</v>
      </c>
      <c r="Q15" s="6">
        <v>36530.730000000003</v>
      </c>
      <c r="R15" s="6">
        <f>13200+14563.35</f>
        <v>27763.35</v>
      </c>
      <c r="S15" s="6">
        <v>73020.75</v>
      </c>
      <c r="T15" s="6">
        <f>5000+4122.02+46373.74</f>
        <v>55495.759999999995</v>
      </c>
      <c r="U15" s="6">
        <v>40213.230000000003</v>
      </c>
      <c r="V15" s="6">
        <f>12000+18562.06</f>
        <v>30562.06</v>
      </c>
      <c r="W15" s="6">
        <v>105587.76</v>
      </c>
      <c r="X15" s="6">
        <f>12600+12300+11955.4+43391.29</f>
        <v>80246.69</v>
      </c>
      <c r="Y15" s="6">
        <v>84865.51</v>
      </c>
      <c r="Z15" s="6">
        <f>20500+10650+11415.09+21932.69</f>
        <v>64497.78</v>
      </c>
      <c r="AA15" s="6">
        <v>32715</v>
      </c>
      <c r="AB15" s="6">
        <f>13700+11163.4</f>
        <v>24863.4</v>
      </c>
      <c r="AC15" s="6">
        <v>99847</v>
      </c>
      <c r="AD15" s="6">
        <f>51000+18500+6383.72</f>
        <v>75883.72</v>
      </c>
    </row>
    <row r="16" spans="1:30" x14ac:dyDescent="0.25">
      <c r="A16" s="7" t="s">
        <v>25</v>
      </c>
      <c r="B16" s="6" t="s">
        <v>30</v>
      </c>
      <c r="C16" s="6">
        <v>21143.16</v>
      </c>
      <c r="D16" s="6">
        <f>6900+9168.8</f>
        <v>16068.8</v>
      </c>
      <c r="E16" s="6">
        <v>21853.8</v>
      </c>
      <c r="F16" s="6">
        <f>6000+10608.89</f>
        <v>16608.89</v>
      </c>
      <c r="G16" s="6">
        <v>26284.5</v>
      </c>
      <c r="H16" s="6">
        <f>8300+11676.21</f>
        <v>19976.21</v>
      </c>
      <c r="I16" s="6">
        <v>63969.7</v>
      </c>
      <c r="J16" s="6">
        <f>6100+42516.96</f>
        <v>48616.959999999999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</row>
    <row r="17" spans="1:30" x14ac:dyDescent="0.25">
      <c r="A17" s="7" t="s">
        <v>25</v>
      </c>
      <c r="B17" s="6" t="s">
        <v>30</v>
      </c>
      <c r="C17" s="6"/>
      <c r="D17" s="6"/>
      <c r="E17" s="6"/>
      <c r="F17" s="6"/>
      <c r="G17" s="6"/>
      <c r="H17" s="6"/>
      <c r="I17" s="6"/>
      <c r="J17" s="6"/>
      <c r="K17" s="6">
        <v>12286.09</v>
      </c>
      <c r="L17" s="6">
        <f>3300+6037.43</f>
        <v>9337.43</v>
      </c>
      <c r="M17" s="6">
        <v>15563.89</v>
      </c>
      <c r="N17" s="6">
        <f>4400+7428.56</f>
        <v>11828.560000000001</v>
      </c>
      <c r="O17" s="6">
        <v>15744.73</v>
      </c>
      <c r="P17" s="6">
        <f>4400+7565.99</f>
        <v>11965.99</v>
      </c>
      <c r="Q17" s="6">
        <v>15744.73</v>
      </c>
      <c r="R17" s="6">
        <f>4800+7165.99</f>
        <v>11965.99</v>
      </c>
      <c r="S17" s="6">
        <v>31431.64</v>
      </c>
      <c r="T17" s="6">
        <f>4600+19288.04</f>
        <v>23888.04</v>
      </c>
      <c r="U17" s="6">
        <v>19301.23</v>
      </c>
      <c r="V17" s="6">
        <f>5700+8968.94</f>
        <v>14668.94</v>
      </c>
      <c r="W17" s="6">
        <v>36901.46</v>
      </c>
      <c r="X17" s="6">
        <f>4600+4100+16146.84+3198.28</f>
        <v>28045.119999999999</v>
      </c>
      <c r="Y17" s="6">
        <v>30919.73</v>
      </c>
      <c r="Z17" s="6">
        <f>6250+4300+6571.94+6377.05</f>
        <v>23498.989999999998</v>
      </c>
      <c r="AA17" s="6">
        <v>12055</v>
      </c>
      <c r="AB17" s="6">
        <f>5000+4161.8</f>
        <v>9161.7999999999993</v>
      </c>
      <c r="AC17" s="6">
        <v>20101</v>
      </c>
      <c r="AD17" s="6">
        <f>8000+5400+1876.76</f>
        <v>15276.76</v>
      </c>
    </row>
    <row r="18" spans="1:30" ht="30" x14ac:dyDescent="0.25">
      <c r="A18" s="7" t="s">
        <v>27</v>
      </c>
      <c r="B18" s="6"/>
      <c r="C18" s="6">
        <v>4000</v>
      </c>
      <c r="D18" s="6">
        <f>1700+1340</f>
        <v>3040</v>
      </c>
      <c r="E18" s="6">
        <v>4000</v>
      </c>
      <c r="F18" s="6">
        <v>3040</v>
      </c>
      <c r="G18" s="6">
        <v>4000</v>
      </c>
      <c r="H18" s="6">
        <v>3040</v>
      </c>
      <c r="I18" s="6">
        <v>4000</v>
      </c>
      <c r="J18" s="6">
        <v>3040</v>
      </c>
      <c r="K18" s="6">
        <v>4000</v>
      </c>
      <c r="L18" s="6">
        <v>3040</v>
      </c>
      <c r="M18" s="6">
        <v>4000</v>
      </c>
      <c r="N18" s="6">
        <v>3040</v>
      </c>
      <c r="O18" s="6">
        <v>4054.68</v>
      </c>
      <c r="P18" s="6">
        <f>2650+431.56</f>
        <v>3081.56</v>
      </c>
      <c r="Q18" s="6">
        <v>4000</v>
      </c>
      <c r="R18" s="6">
        <v>3040</v>
      </c>
      <c r="S18" s="6">
        <v>4000</v>
      </c>
      <c r="T18" s="6">
        <v>3040</v>
      </c>
      <c r="U18" s="6">
        <v>4000</v>
      </c>
      <c r="V18" s="6">
        <v>3040</v>
      </c>
      <c r="W18" s="6">
        <v>4000</v>
      </c>
      <c r="X18" s="6">
        <v>3040</v>
      </c>
      <c r="Y18" s="6">
        <v>6220.74</v>
      </c>
      <c r="Z18" s="6">
        <f>1600+1227.76+1900</f>
        <v>4727.76</v>
      </c>
      <c r="AA18" s="6">
        <v>4323.5</v>
      </c>
      <c r="AB18" s="6">
        <f>1700+1585.85</f>
        <v>3285.85</v>
      </c>
      <c r="AC18" s="6">
        <v>4323.5</v>
      </c>
      <c r="AD18" s="6">
        <v>3285.85</v>
      </c>
    </row>
    <row r="19" spans="1:30" ht="30" x14ac:dyDescent="0.25">
      <c r="A19" s="7" t="s">
        <v>27</v>
      </c>
      <c r="B19" s="6"/>
      <c r="C19" s="6">
        <v>4000</v>
      </c>
      <c r="D19" s="6">
        <v>3040</v>
      </c>
      <c r="E19" s="6">
        <v>4000</v>
      </c>
      <c r="F19" s="6">
        <v>3040</v>
      </c>
      <c r="G19" s="6">
        <v>7603.5</v>
      </c>
      <c r="H19" s="6">
        <f>1550+4228.65</f>
        <v>5778.65</v>
      </c>
      <c r="I19" s="6">
        <v>4603.5</v>
      </c>
      <c r="J19" s="6">
        <f>1500+1998.65</f>
        <v>3498.65</v>
      </c>
      <c r="K19" s="6">
        <v>5763.66</v>
      </c>
      <c r="L19" s="6">
        <f>1500+2880.38</f>
        <v>4380.38</v>
      </c>
      <c r="M19" s="6">
        <v>4863.8500000000004</v>
      </c>
      <c r="N19" s="6">
        <f>1450+2246.53</f>
        <v>3696.53</v>
      </c>
      <c r="O19" s="6">
        <v>4000</v>
      </c>
      <c r="P19" s="6">
        <v>3040</v>
      </c>
      <c r="Q19" s="6">
        <v>6112.82</v>
      </c>
      <c r="R19" s="6">
        <f>3850+795.74</f>
        <v>4645.74</v>
      </c>
      <c r="S19" s="6">
        <v>7049.11</v>
      </c>
      <c r="T19" s="6">
        <f>800+4557.32</f>
        <v>5357.32</v>
      </c>
      <c r="U19" s="6">
        <v>6963.85</v>
      </c>
      <c r="V19" s="6">
        <f>1450+3842.53</f>
        <v>5292.5300000000007</v>
      </c>
      <c r="W19" s="6">
        <v>7609.96</v>
      </c>
      <c r="X19" s="6">
        <f>1000+1726.16+2280+798.14</f>
        <v>5804.3</v>
      </c>
      <c r="Y19" s="6">
        <v>4485.7</v>
      </c>
      <c r="Z19" s="6">
        <f>1950+1459.12</f>
        <v>3409.12</v>
      </c>
      <c r="AA19" s="6">
        <v>4356.55</v>
      </c>
      <c r="AB19" s="6">
        <f>1700+1610.97</f>
        <v>3310.9700000000003</v>
      </c>
      <c r="AC19" s="6">
        <v>4369.1899999999996</v>
      </c>
      <c r="AD19" s="6">
        <f>850+2479.79</f>
        <v>3329.79</v>
      </c>
    </row>
    <row r="20" spans="1:30" ht="27" customHeight="1" x14ac:dyDescent="0.25">
      <c r="A20" s="9" t="s">
        <v>31</v>
      </c>
      <c r="B20" s="9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</row>
    <row r="21" spans="1:30" x14ac:dyDescent="0.25">
      <c r="A21" s="7" t="s">
        <v>32</v>
      </c>
      <c r="B21" s="6" t="s">
        <v>33</v>
      </c>
      <c r="C21" s="6">
        <v>25884.799999999999</v>
      </c>
      <c r="D21" s="6">
        <f>9200+10472.45</f>
        <v>19672.45</v>
      </c>
      <c r="E21" s="6">
        <v>25884.799999999999</v>
      </c>
      <c r="F21" s="6">
        <f>8100+11572.45</f>
        <v>19672.45</v>
      </c>
      <c r="G21" s="6">
        <v>25884.799999999999</v>
      </c>
      <c r="H21" s="6">
        <f>7750+11922.45</f>
        <v>19672.45</v>
      </c>
      <c r="I21" s="6">
        <v>25884.799999999999</v>
      </c>
      <c r="J21" s="6">
        <f>8100+11572.45</f>
        <v>19672.45</v>
      </c>
      <c r="K21" s="6">
        <v>24303.599999999999</v>
      </c>
      <c r="L21" s="6">
        <f>8150+10320.73</f>
        <v>18470.73</v>
      </c>
      <c r="M21" s="6">
        <v>25884.799999999999</v>
      </c>
      <c r="N21" s="6">
        <f>7750+11922.45</f>
        <v>19672.45</v>
      </c>
      <c r="O21" s="6">
        <v>26018.03</v>
      </c>
      <c r="P21" s="6">
        <f>7800+11973.7</f>
        <v>19773.7</v>
      </c>
      <c r="Q21" s="6">
        <v>46490.12</v>
      </c>
      <c r="R21" s="6">
        <f>33600+1732.49</f>
        <v>35332.49</v>
      </c>
      <c r="S21" s="6">
        <v>26018.03</v>
      </c>
      <c r="T21" s="6">
        <f>8150+11623.7</f>
        <v>19773.7</v>
      </c>
      <c r="U21" s="6">
        <v>28577.83</v>
      </c>
      <c r="V21" s="6">
        <f>7800+13919.15</f>
        <v>21719.15</v>
      </c>
      <c r="W21" s="6">
        <v>73097.179999999993</v>
      </c>
      <c r="X21" s="6">
        <f>6500+6250+7690.88+28678.73+6434.25</f>
        <v>55553.86</v>
      </c>
      <c r="Y21" s="6">
        <v>56255.61</v>
      </c>
      <c r="Z21" s="6">
        <f>8500+8150+19437.87+6666.39</f>
        <v>42754.259999999995</v>
      </c>
      <c r="AA21" s="6">
        <v>19255.82</v>
      </c>
      <c r="AB21" s="6">
        <f>7400+7234.42</f>
        <v>14634.42</v>
      </c>
      <c r="AC21" s="6">
        <v>36048.589999999997</v>
      </c>
      <c r="AD21" s="6">
        <f>14000+10000+3396.92</f>
        <v>27396.92</v>
      </c>
    </row>
    <row r="22" spans="1:30" x14ac:dyDescent="0.25">
      <c r="A22" s="7" t="s">
        <v>34</v>
      </c>
      <c r="B22" s="6" t="s">
        <v>33</v>
      </c>
      <c r="C22" s="6">
        <v>16370.32</v>
      </c>
      <c r="D22" s="6">
        <f>7700+4741.44</f>
        <v>12441.439999999999</v>
      </c>
      <c r="E22" s="6">
        <v>16370.32</v>
      </c>
      <c r="F22" s="6">
        <v>12441.44</v>
      </c>
      <c r="G22" s="6">
        <v>28101.71</v>
      </c>
      <c r="H22" s="6">
        <f>6000+10276.52+5080.77</f>
        <v>21357.29</v>
      </c>
      <c r="I22" s="6">
        <v>19237.59</v>
      </c>
      <c r="J22" s="6">
        <f>5250+9370.56</f>
        <v>14620.56</v>
      </c>
      <c r="K22" s="6">
        <v>21161.360000000001</v>
      </c>
      <c r="L22" s="6">
        <f>6400+9682.64</f>
        <v>16082.64</v>
      </c>
      <c r="M22" s="6">
        <v>43282.75</v>
      </c>
      <c r="N22" s="6">
        <f>6100+26794.88</f>
        <v>32894.880000000005</v>
      </c>
      <c r="O22" s="6">
        <v>14813.61</v>
      </c>
      <c r="P22" s="6">
        <f>6100+5158.34</f>
        <v>11258.34</v>
      </c>
      <c r="Q22" s="6">
        <v>56880.75</v>
      </c>
      <c r="R22" s="6">
        <f>8700+29498.18+5139.66</f>
        <v>43337.84</v>
      </c>
      <c r="S22" s="6">
        <v>11615.23</v>
      </c>
      <c r="T22" s="6">
        <f>580+8247.58</f>
        <v>8827.58</v>
      </c>
      <c r="U22" s="6">
        <v>21355.45</v>
      </c>
      <c r="V22" s="6">
        <f>6100+10130.15</f>
        <v>16230.15</v>
      </c>
      <c r="W22" s="6">
        <v>28260.06</v>
      </c>
      <c r="X22" s="6">
        <f>6144.94+15332.71</f>
        <v>21477.649999999998</v>
      </c>
      <c r="Y22" s="6">
        <v>42055.95</v>
      </c>
      <c r="Z22" s="6">
        <f>6500+6700+8422.02+10340.5</f>
        <v>31962.52</v>
      </c>
      <c r="AA22" s="6">
        <v>16769.759999999998</v>
      </c>
      <c r="AB22" s="6">
        <f>7000+5745.01</f>
        <v>12745.01</v>
      </c>
      <c r="AC22" s="6">
        <v>25810.83</v>
      </c>
      <c r="AD22" s="6">
        <f>11000+6500+2116.23</f>
        <v>19616.23</v>
      </c>
    </row>
    <row r="23" spans="1:30" x14ac:dyDescent="0.25">
      <c r="A23" s="7" t="s">
        <v>25</v>
      </c>
      <c r="B23" s="6" t="s">
        <v>35</v>
      </c>
      <c r="C23" s="6">
        <v>20128.78</v>
      </c>
      <c r="D23" s="6">
        <f>6400+8897.87</f>
        <v>15297.87</v>
      </c>
      <c r="E23" s="6">
        <v>20942.5</v>
      </c>
      <c r="F23" s="6">
        <f>4300+11616.29</f>
        <v>15916.29</v>
      </c>
      <c r="G23" s="6">
        <v>25373.200000000001</v>
      </c>
      <c r="H23" s="6">
        <f>7500+11783.63</f>
        <v>19283.629999999997</v>
      </c>
      <c r="I23" s="6">
        <v>21964.95</v>
      </c>
      <c r="J23" s="6">
        <f>5750+10943.36</f>
        <v>16693.36</v>
      </c>
      <c r="K23" s="6">
        <v>21964.95</v>
      </c>
      <c r="L23" s="6">
        <f>7050+9643.36</f>
        <v>16693.36</v>
      </c>
      <c r="M23" s="6">
        <v>35250.239999999998</v>
      </c>
      <c r="N23" s="6">
        <f>2750+9783.6+14256.59</f>
        <v>26790.190000000002</v>
      </c>
      <c r="O23" s="6">
        <v>18968.919999999998</v>
      </c>
      <c r="P23" s="6">
        <f>10900+3516.37</f>
        <v>14416.369999999999</v>
      </c>
      <c r="Q23" s="6">
        <v>41255.019999999997</v>
      </c>
      <c r="R23" s="6">
        <f>23850+7503.82</f>
        <v>31353.82</v>
      </c>
      <c r="S23" s="6">
        <v>18689.93</v>
      </c>
      <c r="T23" s="6">
        <f>5750+8454.34</f>
        <v>14204.34</v>
      </c>
      <c r="U23" s="6">
        <v>22006.63</v>
      </c>
      <c r="V23" s="6">
        <f>8500+8225.04</f>
        <v>16725.04</v>
      </c>
      <c r="W23" s="6">
        <v>31635.59</v>
      </c>
      <c r="X23" s="6">
        <f>4500+5750+4437.71+9355.33</f>
        <v>24043.040000000001</v>
      </c>
      <c r="Y23" s="6">
        <v>38037.29</v>
      </c>
      <c r="Z23" s="6">
        <f>4700+7900+8827.09+7481.26</f>
        <v>28908.35</v>
      </c>
      <c r="AA23" s="6">
        <v>15129.53</v>
      </c>
      <c r="AB23" s="6">
        <f>6300+5198.43</f>
        <v>11498.43</v>
      </c>
      <c r="AC23" s="6">
        <v>25375.27</v>
      </c>
      <c r="AD23" s="6">
        <f>10000+6803.04+2482.17</f>
        <v>19285.21</v>
      </c>
    </row>
    <row r="24" spans="1:30" x14ac:dyDescent="0.25">
      <c r="A24" s="7" t="s">
        <v>25</v>
      </c>
      <c r="B24" s="6" t="s">
        <v>35</v>
      </c>
      <c r="C24" s="6">
        <v>5154.3500000000004</v>
      </c>
      <c r="D24" s="6">
        <v>3917.31</v>
      </c>
      <c r="E24" s="6">
        <v>11925</v>
      </c>
      <c r="F24" s="6">
        <f>4500+4563</f>
        <v>9063</v>
      </c>
      <c r="G24" s="6">
        <v>20353.5</v>
      </c>
      <c r="H24" s="6">
        <f>4350+11118.65</f>
        <v>15468.65</v>
      </c>
      <c r="I24" s="6">
        <v>19019.75</v>
      </c>
      <c r="J24" s="6">
        <f>4600+9855</f>
        <v>14455</v>
      </c>
      <c r="K24" s="6">
        <v>19019.759999999998</v>
      </c>
      <c r="L24" s="6">
        <f>5950+8505.01</f>
        <v>14455.01</v>
      </c>
      <c r="M24" s="6">
        <v>19019.75</v>
      </c>
      <c r="N24" s="6">
        <f>4400+10055</f>
        <v>14455</v>
      </c>
      <c r="O24" s="6">
        <v>28785.84</v>
      </c>
      <c r="P24" s="6">
        <f>19200+2677.23</f>
        <v>21877.23</v>
      </c>
      <c r="Q24" s="6">
        <v>14994.99</v>
      </c>
      <c r="R24" s="6">
        <f>4400+6996.2</f>
        <v>11396.2</v>
      </c>
      <c r="S24" s="6">
        <v>17435.599999999999</v>
      </c>
      <c r="T24" s="6">
        <f>1228.6+12022.45</f>
        <v>13251.050000000001</v>
      </c>
      <c r="U24" s="6">
        <v>34976.589999999997</v>
      </c>
      <c r="V24" s="6">
        <f>18050+8532.21</f>
        <v>26582.21</v>
      </c>
      <c r="W24" s="6">
        <v>25228.73</v>
      </c>
      <c r="X24" s="6">
        <f>4650+3650+3557.84+7315.99</f>
        <v>19173.830000000002</v>
      </c>
      <c r="Y24" s="6">
        <v>31630.45</v>
      </c>
      <c r="Z24" s="6">
        <f>6250+3800+8273.16+5715.99</f>
        <v>24039.15</v>
      </c>
      <c r="AA24" s="6">
        <v>12152</v>
      </c>
      <c r="AB24" s="6">
        <f>5050+4185.52</f>
        <v>9235.52</v>
      </c>
      <c r="AC24" s="6">
        <v>20499.02</v>
      </c>
      <c r="AD24" s="6">
        <f>8500+5400+1679.26</f>
        <v>15579.26</v>
      </c>
    </row>
    <row r="25" spans="1:30" ht="30" x14ac:dyDescent="0.25">
      <c r="A25" s="7" t="s">
        <v>27</v>
      </c>
      <c r="B25" s="6"/>
      <c r="C25" s="6">
        <v>4373.66</v>
      </c>
      <c r="D25" s="6">
        <f>1150+2185.13</f>
        <v>3335.13</v>
      </c>
      <c r="E25" s="6">
        <v>4000</v>
      </c>
      <c r="F25" s="6">
        <v>3040</v>
      </c>
      <c r="G25" s="6">
        <v>6526.85</v>
      </c>
      <c r="H25" s="6">
        <f>1550+3419.35</f>
        <v>4969.3500000000004</v>
      </c>
      <c r="I25" s="6">
        <v>5099.83</v>
      </c>
      <c r="J25" s="6">
        <f>1700+1647.78+530.33</f>
        <v>3878.1099999999997</v>
      </c>
      <c r="K25" s="6">
        <v>5750.31</v>
      </c>
      <c r="L25" s="6">
        <f>1500+2870.23</f>
        <v>4370.2299999999996</v>
      </c>
      <c r="M25" s="6">
        <v>4863.8500000000004</v>
      </c>
      <c r="N25" s="6">
        <f>1450+2246.53</f>
        <v>3696.53</v>
      </c>
      <c r="O25" s="6">
        <v>4845.6000000000004</v>
      </c>
      <c r="P25" s="6">
        <f>680+2477.87+543.61</f>
        <v>3701.48</v>
      </c>
      <c r="Q25" s="6">
        <v>7273.07</v>
      </c>
      <c r="R25" s="6">
        <f>4750+777.53</f>
        <v>5527.53</v>
      </c>
      <c r="S25" s="6">
        <v>6286.83</v>
      </c>
      <c r="T25" s="6">
        <f>250+4527.99</f>
        <v>4777.99</v>
      </c>
      <c r="U25" s="6">
        <v>5963.85</v>
      </c>
      <c r="V25" s="6">
        <f>1450+3082.53</f>
        <v>4532.5300000000007</v>
      </c>
      <c r="W25" s="6">
        <v>4402.6499999999996</v>
      </c>
      <c r="X25" s="6">
        <f>1300+1900+146.01</f>
        <v>3346.01</v>
      </c>
      <c r="Y25" s="6">
        <v>4000</v>
      </c>
      <c r="Z25" s="6">
        <v>3040</v>
      </c>
      <c r="AA25" s="6">
        <v>4356.55</v>
      </c>
      <c r="AB25" s="6">
        <f>1700+1610.97</f>
        <v>3310.9700000000003</v>
      </c>
      <c r="AC25" s="6">
        <v>3448.94</v>
      </c>
      <c r="AD25" s="6">
        <f>1650+941.19</f>
        <v>2591.19</v>
      </c>
    </row>
    <row r="26" spans="1:30" ht="30" x14ac:dyDescent="0.25">
      <c r="A26" s="7" t="s">
        <v>27</v>
      </c>
      <c r="B26" s="6"/>
      <c r="C26" s="6">
        <v>4000</v>
      </c>
      <c r="D26" s="6">
        <v>3040</v>
      </c>
      <c r="E26" s="6">
        <v>4000</v>
      </c>
      <c r="F26" s="6">
        <v>3040</v>
      </c>
      <c r="G26" s="6">
        <v>7375.37</v>
      </c>
      <c r="H26" s="6">
        <f>830+4785.99</f>
        <v>5615.99</v>
      </c>
      <c r="I26" s="6">
        <v>6548.35</v>
      </c>
      <c r="J26" s="6">
        <f>4976.75</f>
        <v>4976.75</v>
      </c>
      <c r="K26" s="6"/>
      <c r="L26" s="6"/>
      <c r="M26" s="6"/>
      <c r="N26" s="6"/>
      <c r="O26" s="6">
        <v>7982.99</v>
      </c>
      <c r="P26" s="6">
        <f>790+5277.07</f>
        <v>6067.07</v>
      </c>
      <c r="Q26" s="6">
        <v>4505.6099999999997</v>
      </c>
      <c r="R26" s="6">
        <f>3200+224.26</f>
        <v>3424.26</v>
      </c>
      <c r="S26" s="6">
        <v>7963.85</v>
      </c>
      <c r="T26" s="6">
        <f>1500+4552.53</f>
        <v>6052.53</v>
      </c>
      <c r="U26" s="6">
        <v>7392.31</v>
      </c>
      <c r="V26" s="6">
        <f>1450+4168.15</f>
        <v>5618.15</v>
      </c>
      <c r="W26" s="6">
        <v>8963.85</v>
      </c>
      <c r="X26" s="6">
        <f>2000+3800+1012.53</f>
        <v>6812.53</v>
      </c>
      <c r="Y26" s="6">
        <v>12963.85</v>
      </c>
      <c r="Z26" s="6">
        <f>1600+8252.53</f>
        <v>9852.5300000000007</v>
      </c>
      <c r="AA26" s="6">
        <v>8356.5499999999993</v>
      </c>
      <c r="AB26" s="6">
        <f>1700+4650.97</f>
        <v>6350.97</v>
      </c>
      <c r="AC26" s="6">
        <v>8356.5499999999993</v>
      </c>
      <c r="AD26" s="6">
        <f>1650+4700.97</f>
        <v>6350.97</v>
      </c>
    </row>
    <row r="27" spans="1:30" ht="32.25" customHeight="1" x14ac:dyDescent="0.25">
      <c r="A27" s="8" t="s">
        <v>36</v>
      </c>
      <c r="B27" s="8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</row>
    <row r="28" spans="1:30" x14ac:dyDescent="0.25">
      <c r="A28" s="7" t="s">
        <v>32</v>
      </c>
      <c r="B28" s="6" t="s">
        <v>37</v>
      </c>
      <c r="C28" s="6">
        <v>21571.360000000001</v>
      </c>
      <c r="D28" s="6">
        <f>9250+7144.24</f>
        <v>16394.239999999998</v>
      </c>
      <c r="E28" s="6">
        <v>21571.360000000001</v>
      </c>
      <c r="F28" s="6">
        <f>8100+8294.24</f>
        <v>16394.239999999998</v>
      </c>
      <c r="G28" s="6">
        <v>31448.560000000001</v>
      </c>
      <c r="H28" s="6">
        <f>7750+16150.9</f>
        <v>23900.9</v>
      </c>
      <c r="I28" s="6">
        <v>26509.96</v>
      </c>
      <c r="J28" s="6">
        <f>8250+11897.57</f>
        <v>20147.57</v>
      </c>
      <c r="K28" s="6">
        <v>53814.51</v>
      </c>
      <c r="L28" s="6">
        <f>8300+16615.32+15983.7</f>
        <v>40899.020000000004</v>
      </c>
      <c r="M28" s="6">
        <v>18943.82</v>
      </c>
      <c r="N28" s="6">
        <f>3950+10447.3</f>
        <v>14397.3</v>
      </c>
      <c r="O28" s="6">
        <v>24273.89</v>
      </c>
      <c r="P28" s="6">
        <f>7900+10548.16</f>
        <v>18448.16</v>
      </c>
      <c r="Q28" s="6">
        <v>24273.89</v>
      </c>
      <c r="R28" s="6">
        <f>8700+9748.16</f>
        <v>18448.16</v>
      </c>
      <c r="S28" s="6">
        <v>23642.47</v>
      </c>
      <c r="T28" s="6">
        <f>3000+2710.69+12257.6</f>
        <v>17968.29</v>
      </c>
      <c r="U28" s="6">
        <v>51198.95</v>
      </c>
      <c r="V28" s="6">
        <f>28000+10911.2</f>
        <v>38911.199999999997</v>
      </c>
      <c r="W28" s="6">
        <v>48721.63</v>
      </c>
      <c r="X28" s="6">
        <f>8300+7300+6392.35+9390.44+5645.65</f>
        <v>37028.44</v>
      </c>
      <c r="Y28" s="6">
        <v>47131.82</v>
      </c>
      <c r="Z28" s="6">
        <f>5645.65+10050+6350+12414.66+7005.52</f>
        <v>41465.83</v>
      </c>
      <c r="AA28" s="6">
        <v>22000.6</v>
      </c>
      <c r="AB28" s="6">
        <f>9050+7670.45</f>
        <v>16720.45</v>
      </c>
      <c r="AC28" s="6">
        <v>53000.4</v>
      </c>
      <c r="AD28" s="6">
        <f>26000+10700+3580.31</f>
        <v>40280.31</v>
      </c>
    </row>
    <row r="29" spans="1:30" x14ac:dyDescent="0.25">
      <c r="A29" s="7" t="s">
        <v>25</v>
      </c>
      <c r="B29" s="6" t="s">
        <v>26</v>
      </c>
      <c r="C29" s="6">
        <v>12676.81</v>
      </c>
      <c r="D29" s="6">
        <f>2800+6961.14</f>
        <v>9761.14</v>
      </c>
      <c r="E29" s="6">
        <v>18222.900000000001</v>
      </c>
      <c r="F29" s="6">
        <f>6900+7131.63</f>
        <v>14031.630000000001</v>
      </c>
      <c r="G29" s="6">
        <v>18222.900000000001</v>
      </c>
      <c r="H29" s="6">
        <f>6680+7351.63</f>
        <v>14031.630000000001</v>
      </c>
      <c r="I29" s="6">
        <v>26281.84</v>
      </c>
      <c r="J29" s="6">
        <f>7000+5495.16+7741.85</f>
        <v>20237.010000000002</v>
      </c>
      <c r="K29" s="6">
        <v>17241.72</v>
      </c>
      <c r="L29" s="6">
        <f>3800+9476.12</f>
        <v>13276.12</v>
      </c>
      <c r="M29" s="6">
        <v>20949.5</v>
      </c>
      <c r="N29" s="6">
        <f>6650+9481.11</f>
        <v>16131.11</v>
      </c>
      <c r="O29" s="6">
        <v>38993.879999999997</v>
      </c>
      <c r="P29" s="6">
        <f>6700+23325.29</f>
        <v>30025.29</v>
      </c>
      <c r="Q29" s="6">
        <v>18728.349999999999</v>
      </c>
      <c r="R29" s="6">
        <f>7350+7070.83</f>
        <v>14420.83</v>
      </c>
      <c r="S29" s="6">
        <v>41521.53</v>
      </c>
      <c r="T29" s="6">
        <f>7000+24971.57</f>
        <v>31971.57</v>
      </c>
      <c r="U29" s="6">
        <v>19303.96</v>
      </c>
      <c r="V29" s="6">
        <f>13000+1864.05</f>
        <v>14864.05</v>
      </c>
      <c r="W29" s="6">
        <v>22167.84</v>
      </c>
      <c r="X29" s="6">
        <f>2050+7000+6589.28+1429.96</f>
        <v>17069.239999999998</v>
      </c>
      <c r="Y29" s="6">
        <v>24552.42</v>
      </c>
      <c r="Z29" s="6">
        <f>7350+2100+7817.31+1638.05</f>
        <v>18905.36</v>
      </c>
      <c r="AA29" s="6">
        <v>18222.900000000001</v>
      </c>
      <c r="AB29" s="6">
        <f>7650+6381.63</f>
        <v>14031.630000000001</v>
      </c>
      <c r="AC29" s="6">
        <v>33025.230000000003</v>
      </c>
      <c r="AD29" s="6">
        <f>10000+8500+3599.9+3329.52</f>
        <v>25429.420000000002</v>
      </c>
    </row>
    <row r="30" spans="1:30" x14ac:dyDescent="0.25">
      <c r="A30" s="7" t="s">
        <v>25</v>
      </c>
      <c r="B30" s="6" t="s">
        <v>26</v>
      </c>
      <c r="C30" s="6">
        <v>14105.66</v>
      </c>
      <c r="D30" s="6">
        <f>10720.3</f>
        <v>10720.3</v>
      </c>
      <c r="E30" s="6">
        <v>10579.25</v>
      </c>
      <c r="F30" s="6">
        <f>5300+2740.23</f>
        <v>8040.23</v>
      </c>
      <c r="G30" s="6">
        <v>23672.81</v>
      </c>
      <c r="H30" s="6">
        <f>5750+11558.8+707.02</f>
        <v>18015.82</v>
      </c>
      <c r="I30" s="6">
        <v>18195.560000000001</v>
      </c>
      <c r="J30" s="6">
        <f>5400+8428.62</f>
        <v>13828.62</v>
      </c>
      <c r="K30" s="6">
        <v>18195.560000000001</v>
      </c>
      <c r="L30" s="6">
        <f>5400+8428.62</f>
        <v>13828.62</v>
      </c>
      <c r="M30" s="6">
        <v>47610.720000000001</v>
      </c>
      <c r="N30" s="6">
        <f>5150+31034.14</f>
        <v>36184.14</v>
      </c>
      <c r="O30" s="6">
        <v>2831.97</v>
      </c>
      <c r="P30" s="6">
        <f>1864.6+287.9</f>
        <v>2152.5</v>
      </c>
      <c r="Q30" s="6">
        <v>13957.58</v>
      </c>
      <c r="R30" s="6">
        <f>4100+6507.75</f>
        <v>10607.75</v>
      </c>
      <c r="S30" s="6">
        <v>34116.519999999997</v>
      </c>
      <c r="T30" s="6">
        <f>5400+20528.55</f>
        <v>25928.55</v>
      </c>
      <c r="U30" s="6">
        <v>16283.84</v>
      </c>
      <c r="V30" s="6">
        <f>5150+7225.72</f>
        <v>12375.720000000001</v>
      </c>
      <c r="W30" s="6">
        <v>21192.22</v>
      </c>
      <c r="X30" s="6">
        <f>2650+5450+2634.53+5371.56</f>
        <v>16106.09</v>
      </c>
      <c r="Y30" s="6">
        <v>24401.98</v>
      </c>
      <c r="Z30" s="6">
        <f>5650+2800+6797.83+3297.67</f>
        <v>18545.5</v>
      </c>
      <c r="AA30" s="6">
        <v>10901.91</v>
      </c>
      <c r="AB30" s="6">
        <f>3450+3819.12+1046.91</f>
        <v>8316.0300000000007</v>
      </c>
      <c r="AC30" s="6">
        <v>26909.34</v>
      </c>
      <c r="AD30" s="6">
        <f>11500+6100+785.2+2076.11</f>
        <v>20461.310000000001</v>
      </c>
    </row>
    <row r="31" spans="1:30" x14ac:dyDescent="0.25">
      <c r="A31" s="7" t="s">
        <v>25</v>
      </c>
      <c r="B31" s="6" t="s">
        <v>26</v>
      </c>
      <c r="C31" s="6">
        <v>14105.66</v>
      </c>
      <c r="D31" s="6">
        <v>10720.3</v>
      </c>
      <c r="E31" s="6">
        <v>14105.66</v>
      </c>
      <c r="F31" s="6">
        <v>10720.3</v>
      </c>
      <c r="G31" s="6">
        <v>22285.46</v>
      </c>
      <c r="H31" s="6">
        <f>5150+11786.96</f>
        <v>16936.96</v>
      </c>
      <c r="I31" s="6">
        <v>18195.560000000001</v>
      </c>
      <c r="J31" s="6">
        <v>13828.62</v>
      </c>
      <c r="K31" s="6">
        <v>18195.560000000001</v>
      </c>
      <c r="L31" s="6">
        <f>5400+8428.62</f>
        <v>13828.62</v>
      </c>
      <c r="M31" s="6">
        <v>30115.97</v>
      </c>
      <c r="N31" s="6">
        <f>3100+4005.04+15783.1</f>
        <v>22888.14</v>
      </c>
      <c r="O31" s="6">
        <v>27320.75</v>
      </c>
      <c r="P31" s="6">
        <f>5150+15613.77</f>
        <v>20763.77</v>
      </c>
      <c r="Q31" s="6">
        <v>4652.5200000000004</v>
      </c>
      <c r="R31" s="6">
        <f>500+3035.9</f>
        <v>3535.9</v>
      </c>
      <c r="S31" s="6">
        <v>34673.31</v>
      </c>
      <c r="T31" s="6">
        <f>5400+20951.71</f>
        <v>26351.71</v>
      </c>
      <c r="U31" s="6">
        <v>16556.5</v>
      </c>
      <c r="V31" s="6">
        <f>5150+7432.93</f>
        <v>12582.93</v>
      </c>
      <c r="W31" s="6">
        <v>21601.24</v>
      </c>
      <c r="X31" s="6">
        <f>2750+5500+2638.18+5528.77</f>
        <v>16416.95</v>
      </c>
      <c r="Y31" s="6">
        <v>24668.74</v>
      </c>
      <c r="Z31" s="6">
        <f>2850+5750+5278.77+4869.47</f>
        <v>18748.240000000002</v>
      </c>
      <c r="AA31" s="6">
        <v>9149.84</v>
      </c>
      <c r="AB31" s="6">
        <f>6800+153.88</f>
        <v>6953.88</v>
      </c>
      <c r="AC31" s="6">
        <v>33319.550000000003</v>
      </c>
      <c r="AD31" s="6">
        <f>14000+6600+2599.83+2190.55</f>
        <v>25390.38</v>
      </c>
    </row>
    <row r="32" spans="1:30" ht="23.25" customHeight="1" x14ac:dyDescent="0.25">
      <c r="A32" s="9" t="s">
        <v>38</v>
      </c>
      <c r="B32" s="9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</row>
    <row r="33" spans="1:30" x14ac:dyDescent="0.25">
      <c r="A33" s="7" t="s">
        <v>39</v>
      </c>
      <c r="B33" s="6" t="s">
        <v>40</v>
      </c>
      <c r="C33" s="6">
        <v>26402.7</v>
      </c>
      <c r="D33" s="6">
        <f>9700+10366.04</f>
        <v>20066.04</v>
      </c>
      <c r="E33" s="6">
        <v>25409.25</v>
      </c>
      <c r="F33" s="6">
        <f>17756.87+1554.17</f>
        <v>19311.04</v>
      </c>
      <c r="G33" s="6">
        <v>25145.41</v>
      </c>
      <c r="H33" s="6">
        <f>7350+11760.51</f>
        <v>19110.510000000002</v>
      </c>
      <c r="I33" s="6">
        <v>26402.7</v>
      </c>
      <c r="J33" s="6">
        <f>8550+11516.04</f>
        <v>20066.04</v>
      </c>
      <c r="K33" s="6">
        <v>26402.7</v>
      </c>
      <c r="L33" s="6">
        <f>8550+11516.04</f>
        <v>20066.04</v>
      </c>
      <c r="M33" s="6">
        <v>17885.29</v>
      </c>
      <c r="N33" s="6">
        <f>8150+5442.83</f>
        <v>13592.83</v>
      </c>
      <c r="O33" s="6">
        <v>18311.25</v>
      </c>
      <c r="P33" s="6">
        <f>3696+14.43+7420.87+2968.35</f>
        <v>14099.65</v>
      </c>
      <c r="Q33" s="6">
        <v>58552.34</v>
      </c>
      <c r="R33" s="6">
        <f>20328.93+7420.87+742.08+11131.31+5194.61</f>
        <v>44817.8</v>
      </c>
      <c r="S33" s="6">
        <v>28912.5</v>
      </c>
      <c r="T33" s="6">
        <f>0.01+7420.87+9647.13+5194.61</f>
        <v>22262.62</v>
      </c>
      <c r="U33" s="6">
        <v>41622.199999999997</v>
      </c>
      <c r="V33" s="6">
        <f>5950+10301.43+7420.87+8162.96</f>
        <v>31835.26</v>
      </c>
      <c r="W33" s="6">
        <v>50053.88</v>
      </c>
      <c r="X33" s="6">
        <f>8400+5300+2822.99+21517.96</f>
        <v>38040.949999999997</v>
      </c>
      <c r="Y33" s="6">
        <v>49150.89</v>
      </c>
      <c r="Z33" s="6">
        <f>25500+6150+5705.67</f>
        <v>37355.67</v>
      </c>
      <c r="AA33" s="6">
        <v>12225.15</v>
      </c>
      <c r="AB33" s="6">
        <f>1550+7741.11</f>
        <v>9291.11</v>
      </c>
      <c r="AC33" s="6">
        <v>41710.239999999998</v>
      </c>
      <c r="AD33" s="6">
        <f>16000+11700+3999.79</f>
        <v>31699.79</v>
      </c>
    </row>
    <row r="34" spans="1:30" x14ac:dyDescent="0.25">
      <c r="A34" s="7" t="s">
        <v>25</v>
      </c>
      <c r="B34" s="6" t="s">
        <v>41</v>
      </c>
      <c r="C34" s="6">
        <v>4335.5200000000004</v>
      </c>
      <c r="D34" s="6">
        <f>3294.99</f>
        <v>3294.99</v>
      </c>
      <c r="E34" s="6">
        <v>12464.62</v>
      </c>
      <c r="F34" s="6">
        <f>4800+4797.76</f>
        <v>9597.76</v>
      </c>
      <c r="G34" s="6">
        <v>21350</v>
      </c>
      <c r="H34" s="6">
        <f>4570+11869.5</f>
        <v>16439.5</v>
      </c>
      <c r="I34" s="6">
        <v>18856.2</v>
      </c>
      <c r="J34" s="6">
        <f>6050+8469.27</f>
        <v>14519.27</v>
      </c>
      <c r="K34" s="6">
        <v>18856.2</v>
      </c>
      <c r="L34" s="6">
        <f>6050+8469.27</f>
        <v>14519.27</v>
      </c>
      <c r="M34" s="6">
        <v>17825.3</v>
      </c>
      <c r="N34" s="6">
        <f>5750+7975.48</f>
        <v>13725.48</v>
      </c>
      <c r="O34" s="6">
        <v>17958.53</v>
      </c>
      <c r="P34" s="6">
        <f>5800+8028.06</f>
        <v>13828.060000000001</v>
      </c>
      <c r="Q34" s="6">
        <v>18989.43</v>
      </c>
      <c r="R34" s="6">
        <f>6350+8271.86</f>
        <v>14621.86</v>
      </c>
      <c r="S34" s="6">
        <v>37083.050000000003</v>
      </c>
      <c r="T34" s="6">
        <f>6050+7243.95+15260</f>
        <v>28553.95</v>
      </c>
      <c r="U34" s="6">
        <v>29868.62</v>
      </c>
      <c r="V34" s="6">
        <f>15550+7448.84</f>
        <v>22998.84</v>
      </c>
      <c r="W34" s="6">
        <v>22082.720000000001</v>
      </c>
      <c r="X34" s="6">
        <f>2400+6050+2363.21+6190.48</f>
        <v>17003.689999999999</v>
      </c>
      <c r="Y34" s="6">
        <v>24969.32</v>
      </c>
      <c r="Z34" s="6">
        <f>2500+6300+2818.87+7607.5</f>
        <v>19226.37</v>
      </c>
      <c r="AA34" s="6">
        <v>15064.66</v>
      </c>
      <c r="AB34" s="6">
        <f>4950+6095.8</f>
        <v>11045.8</v>
      </c>
      <c r="AC34" s="6">
        <v>25599.360000000001</v>
      </c>
      <c r="AD34" s="6">
        <f>554+9000+6700+1661.97</f>
        <v>17915.97</v>
      </c>
    </row>
    <row r="36" spans="1:30" x14ac:dyDescent="0.25">
      <c r="A36" s="10" t="s">
        <v>43</v>
      </c>
    </row>
  </sheetData>
  <mergeCells count="23">
    <mergeCell ref="A27:B27"/>
    <mergeCell ref="A32:B32"/>
    <mergeCell ref="A2:A4"/>
    <mergeCell ref="B2:B4"/>
    <mergeCell ref="A9:B9"/>
    <mergeCell ref="A14:B14"/>
    <mergeCell ref="A20:B20"/>
    <mergeCell ref="Y3:Z3"/>
    <mergeCell ref="G3:H3"/>
    <mergeCell ref="C2:Z2"/>
    <mergeCell ref="AA3:AB3"/>
    <mergeCell ref="AC3:AD3"/>
    <mergeCell ref="AA2:AD2"/>
    <mergeCell ref="M3:N3"/>
    <mergeCell ref="O3:P3"/>
    <mergeCell ref="Q3:R3"/>
    <mergeCell ref="S3:T3"/>
    <mergeCell ref="U3:V3"/>
    <mergeCell ref="W3:X3"/>
    <mergeCell ref="C3:D3"/>
    <mergeCell ref="E3:F3"/>
    <mergeCell ref="I3:J3"/>
    <mergeCell ref="K3:L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NataBuh</dc:creator>
  <cp:lastModifiedBy>Professional</cp:lastModifiedBy>
  <dcterms:created xsi:type="dcterms:W3CDTF">2015-06-05T18:19:34Z</dcterms:created>
  <dcterms:modified xsi:type="dcterms:W3CDTF">2026-03-11T10:06:38Z</dcterms:modified>
</cp:coreProperties>
</file>