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Olga Protsenko\OneDrive - Kharkiv ODA\Рабочий стол\головний бухгалтер\Зарплата\2026\"/>
    </mc:Choice>
  </mc:AlternateContent>
  <xr:revisionPtr revIDLastSave="0" documentId="13_ncr:1_{382B0204-A280-4BFC-A07C-C3E3436521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дані по зарплаті 2025-2026" sheetId="2" r:id="rId1"/>
    <sheet name="Sheet1" sheetId="1" r:id="rId2"/>
  </sheets>
  <definedNames>
    <definedName name="_xlnm.Print_Area" localSheetId="0">'дані по зарплаті 2025-2026'!$A$1:$AG$46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7" i="2" l="1"/>
  <c r="AF25" i="2"/>
  <c r="AF34" i="2"/>
  <c r="AF14" i="2"/>
  <c r="AF20" i="2"/>
  <c r="AF32" i="2"/>
  <c r="Z36" i="2"/>
  <c r="AB36" i="2"/>
  <c r="V32" i="2"/>
  <c r="R18" i="2"/>
  <c r="N18" i="2"/>
  <c r="N19" i="2"/>
  <c r="P25" i="2"/>
  <c r="L27" i="2"/>
  <c r="J35" i="2"/>
  <c r="J24" i="2"/>
  <c r="J19" i="2"/>
  <c r="H35" i="2"/>
  <c r="H24" i="2"/>
  <c r="H19" i="2"/>
  <c r="F27" i="2" l="1"/>
  <c r="F35" i="2"/>
  <c r="G35" i="2" s="1"/>
  <c r="F24" i="2"/>
  <c r="F19" i="2"/>
  <c r="G19" i="2" s="1"/>
  <c r="I35" i="2"/>
  <c r="I24" i="2"/>
  <c r="G24" i="2"/>
  <c r="I19" i="2"/>
  <c r="I29" i="2"/>
  <c r="G29" i="2"/>
  <c r="I12" i="2"/>
  <c r="G12" i="2"/>
  <c r="I27" i="2"/>
  <c r="G27" i="2"/>
  <c r="I31" i="2"/>
  <c r="G31" i="2"/>
  <c r="I16" i="2"/>
  <c r="G16" i="2"/>
  <c r="I30" i="2"/>
  <c r="G30" i="2"/>
  <c r="AG38" i="2"/>
  <c r="AG37" i="2"/>
  <c r="AG36" i="2"/>
  <c r="AF36" i="2"/>
  <c r="AG35" i="2"/>
  <c r="AF35" i="2"/>
  <c r="AG34" i="2"/>
  <c r="AG32" i="2"/>
  <c r="AG23" i="2"/>
  <c r="AG31" i="2"/>
  <c r="AF31" i="2"/>
  <c r="AG30" i="2"/>
  <c r="AF30" i="2"/>
  <c r="AG29" i="2"/>
  <c r="AF29" i="2"/>
  <c r="AG27" i="2"/>
  <c r="AF27" i="2"/>
  <c r="AG24" i="2"/>
  <c r="AF24" i="2"/>
  <c r="AF23" i="2"/>
  <c r="AG22" i="2"/>
  <c r="AF22" i="2"/>
  <c r="AG19" i="2"/>
  <c r="AF19" i="2"/>
  <c r="AG18" i="2"/>
  <c r="AF18" i="2"/>
  <c r="AG17" i="2"/>
  <c r="AF17" i="2"/>
  <c r="AG16" i="2"/>
  <c r="AF16" i="2"/>
  <c r="AG14" i="2"/>
  <c r="AG12" i="2"/>
  <c r="AG11" i="2"/>
  <c r="AF12" i="2"/>
  <c r="AF39" i="2" s="1"/>
  <c r="AF11" i="2"/>
  <c r="AD38" i="2"/>
  <c r="AE38" i="2"/>
  <c r="AD37" i="2"/>
  <c r="AD36" i="2"/>
  <c r="AE36" i="2" s="1"/>
  <c r="AE35" i="2"/>
  <c r="AD34" i="2"/>
  <c r="AD32" i="2"/>
  <c r="AE31" i="2"/>
  <c r="AE30" i="2"/>
  <c r="AE29" i="2"/>
  <c r="AD27" i="2"/>
  <c r="AD25" i="2"/>
  <c r="AD24" i="2"/>
  <c r="AE24" i="2" s="1"/>
  <c r="AE23" i="2"/>
  <c r="AD22" i="2"/>
  <c r="AD20" i="2"/>
  <c r="AD19" i="2"/>
  <c r="AD18" i="2"/>
  <c r="AE17" i="2"/>
  <c r="AD16" i="2"/>
  <c r="AD14" i="2"/>
  <c r="AE14" i="2" s="1"/>
  <c r="AE39" i="2" s="1"/>
  <c r="AD12" i="2"/>
  <c r="AD11" i="2"/>
  <c r="AD39" i="2" s="1"/>
  <c r="AC36" i="2"/>
  <c r="AA36" i="2"/>
  <c r="X36" i="2"/>
  <c r="Y36" i="2" s="1"/>
  <c r="V36" i="2"/>
  <c r="W36" i="2" s="1"/>
  <c r="U36" i="2"/>
  <c r="T36" i="2"/>
  <c r="S36" i="2"/>
  <c r="R36" i="2"/>
  <c r="P36" i="2"/>
  <c r="Q36" i="2" s="1"/>
  <c r="N36" i="2"/>
  <c r="O36" i="2" s="1"/>
  <c r="L36" i="2"/>
  <c r="M36" i="2" s="1"/>
  <c r="J36" i="2"/>
  <c r="K36" i="2" s="1"/>
  <c r="H36" i="2"/>
  <c r="I36" i="2" s="1"/>
  <c r="G36" i="2"/>
  <c r="F36" i="2"/>
  <c r="G38" i="2"/>
  <c r="F38" i="2"/>
  <c r="AC34" i="2"/>
  <c r="AB34" i="2"/>
  <c r="Z34" i="2"/>
  <c r="AA34" i="2" s="1"/>
  <c r="AC23" i="2"/>
  <c r="AB23" i="2"/>
  <c r="Z23" i="2"/>
  <c r="Z39" i="2" s="1"/>
  <c r="Z17" i="2"/>
  <c r="AA17" i="2" s="1"/>
  <c r="X17" i="2"/>
  <c r="Y17" i="2" s="1"/>
  <c r="V17" i="2"/>
  <c r="W17" i="2" s="1"/>
  <c r="U17" i="2"/>
  <c r="T17" i="2"/>
  <c r="S17" i="2"/>
  <c r="R17" i="2"/>
  <c r="P17" i="2"/>
  <c r="Q17" i="2" s="1"/>
  <c r="O17" i="2"/>
  <c r="N17" i="2"/>
  <c r="M17" i="2"/>
  <c r="L17" i="2"/>
  <c r="J17" i="2"/>
  <c r="H17" i="2"/>
  <c r="I17" i="2" s="1"/>
  <c r="G17" i="2"/>
  <c r="F17" i="2"/>
  <c r="AC20" i="2"/>
  <c r="AA20" i="2"/>
  <c r="V20" i="2"/>
  <c r="W20" i="2" s="1"/>
  <c r="X20" i="2"/>
  <c r="Y20" i="2" s="1"/>
  <c r="U20" i="2"/>
  <c r="T20" i="2"/>
  <c r="R20" i="2"/>
  <c r="S20" i="2" s="1"/>
  <c r="P20" i="2"/>
  <c r="Q20" i="2" s="1"/>
  <c r="N20" i="2"/>
  <c r="O20" i="2" s="1"/>
  <c r="M20" i="2"/>
  <c r="L20" i="2"/>
  <c r="J20" i="2"/>
  <c r="K20" i="2" s="1"/>
  <c r="H20" i="2"/>
  <c r="I20" i="2" s="1"/>
  <c r="F20" i="2"/>
  <c r="G20" i="2" s="1"/>
  <c r="AC14" i="2"/>
  <c r="AB14" i="2"/>
  <c r="AB39" i="2" s="1"/>
  <c r="Z14" i="2"/>
  <c r="AA14" i="2" s="1"/>
  <c r="X14" i="2"/>
  <c r="Y14" i="2" s="1"/>
  <c r="V14" i="2"/>
  <c r="W14" i="2" s="1"/>
  <c r="T14" i="2"/>
  <c r="T39" i="2" s="1"/>
  <c r="R14" i="2"/>
  <c r="S14" i="2" s="1"/>
  <c r="P14" i="2"/>
  <c r="Q14" i="2" s="1"/>
  <c r="N14" i="2"/>
  <c r="O14" i="2" s="1"/>
  <c r="AC22" i="2"/>
  <c r="AA22" i="2"/>
  <c r="Y22" i="2"/>
  <c r="V22" i="2"/>
  <c r="W22" i="2" s="1"/>
  <c r="W23" i="2"/>
  <c r="U23" i="2"/>
  <c r="S23" i="2"/>
  <c r="Q23" i="2"/>
  <c r="O23" i="2"/>
  <c r="I23" i="2"/>
  <c r="J23" i="2" s="1"/>
  <c r="K23" i="2" s="1"/>
  <c r="L23" i="2" s="1"/>
  <c r="M23" i="2" s="1"/>
  <c r="F23" i="2"/>
  <c r="G23" i="2" s="1"/>
  <c r="AB25" i="2"/>
  <c r="AC25" i="2" s="1"/>
  <c r="AA25" i="2"/>
  <c r="Y25" i="2"/>
  <c r="V25" i="2"/>
  <c r="W25" i="2" s="1"/>
  <c r="T25" i="2"/>
  <c r="U25" i="2" s="1"/>
  <c r="R25" i="2"/>
  <c r="S25" i="2" s="1"/>
  <c r="Q25" i="2"/>
  <c r="O25" i="2"/>
  <c r="N25" i="2"/>
  <c r="L25" i="2"/>
  <c r="M25" i="2" s="1"/>
  <c r="K25" i="2"/>
  <c r="J25" i="2"/>
  <c r="H25" i="2"/>
  <c r="I25" i="2" s="1"/>
  <c r="F25" i="2"/>
  <c r="G25" i="2" s="1"/>
  <c r="AB37" i="2"/>
  <c r="AC37" i="2" s="1"/>
  <c r="Z37" i="2"/>
  <c r="AA37" i="2" s="1"/>
  <c r="Y37" i="2"/>
  <c r="V37" i="2"/>
  <c r="W37" i="2" s="1"/>
  <c r="T37" i="2"/>
  <c r="U37" i="2" s="1"/>
  <c r="R37" i="2"/>
  <c r="S37" i="2" s="1"/>
  <c r="N37" i="2"/>
  <c r="P37" i="2"/>
  <c r="Q37" i="2" s="1"/>
  <c r="O37" i="2"/>
  <c r="L37" i="2"/>
  <c r="M37" i="2" s="1"/>
  <c r="J37" i="2"/>
  <c r="K37" i="2" s="1"/>
  <c r="H37" i="2"/>
  <c r="I37" i="2" s="1"/>
  <c r="AC32" i="2"/>
  <c r="Z32" i="2"/>
  <c r="AA32" i="2" s="1"/>
  <c r="X32" i="2"/>
  <c r="Y32" i="2" s="1"/>
  <c r="W32" i="2"/>
  <c r="T32" i="2"/>
  <c r="U32" i="2" s="1"/>
  <c r="R32" i="2"/>
  <c r="S32" i="2" s="1"/>
  <c r="P32" i="2"/>
  <c r="Q32" i="2" s="1"/>
  <c r="N32" i="2"/>
  <c r="N39" i="2" s="1"/>
  <c r="L32" i="2"/>
  <c r="M32" i="2" s="1"/>
  <c r="J32" i="2"/>
  <c r="K32" i="2" s="1"/>
  <c r="H32" i="2"/>
  <c r="I32" i="2" s="1"/>
  <c r="G32" i="2"/>
  <c r="F32" i="2"/>
  <c r="AC38" i="2"/>
  <c r="AB38" i="2"/>
  <c r="Z38" i="2"/>
  <c r="AA38" i="2" s="1"/>
  <c r="Y38" i="2"/>
  <c r="W38" i="2"/>
  <c r="V38" i="2"/>
  <c r="T38" i="2"/>
  <c r="U38" i="2" s="1"/>
  <c r="R38" i="2"/>
  <c r="S38" i="2" s="1"/>
  <c r="P38" i="2"/>
  <c r="Q38" i="2" s="1"/>
  <c r="AC18" i="2"/>
  <c r="AB18" i="2"/>
  <c r="Z18" i="2"/>
  <c r="AA18" i="2" s="1"/>
  <c r="X18" i="2"/>
  <c r="Y18" i="2" s="1"/>
  <c r="V18" i="2"/>
  <c r="W18" i="2" s="1"/>
  <c r="U18" i="2"/>
  <c r="T18" i="2"/>
  <c r="S18" i="2"/>
  <c r="P18" i="2"/>
  <c r="Q18" i="2" s="1"/>
  <c r="O18" i="2"/>
  <c r="L18" i="2"/>
  <c r="M18" i="2" s="1"/>
  <c r="J18" i="2"/>
  <c r="K18" i="2" s="1"/>
  <c r="H18" i="2"/>
  <c r="I18" i="2" s="1"/>
  <c r="F18" i="2"/>
  <c r="G18" i="2" s="1"/>
  <c r="AB35" i="2"/>
  <c r="AC35" i="2" s="1"/>
  <c r="Z35" i="2"/>
  <c r="AA35" i="2" s="1"/>
  <c r="X35" i="2"/>
  <c r="Y35" i="2" s="1"/>
  <c r="V35" i="2"/>
  <c r="W35" i="2" s="1"/>
  <c r="T35" i="2"/>
  <c r="U35" i="2" s="1"/>
  <c r="R35" i="2"/>
  <c r="S35" i="2" s="1"/>
  <c r="P35" i="2"/>
  <c r="Q35" i="2" s="1"/>
  <c r="N35" i="2"/>
  <c r="O35" i="2" s="1"/>
  <c r="L35" i="2"/>
  <c r="M35" i="2" s="1"/>
  <c r="K35" i="2"/>
  <c r="AB19" i="2"/>
  <c r="AC19" i="2" s="1"/>
  <c r="Z19" i="2"/>
  <c r="AA19" i="2" s="1"/>
  <c r="X19" i="2"/>
  <c r="Y19" i="2" s="1"/>
  <c r="V19" i="2"/>
  <c r="W19" i="2" s="1"/>
  <c r="T19" i="2"/>
  <c r="U19" i="2" s="1"/>
  <c r="R19" i="2"/>
  <c r="S19" i="2" s="1"/>
  <c r="P19" i="2"/>
  <c r="Q19" i="2" s="1"/>
  <c r="O19" i="2"/>
  <c r="M19" i="2"/>
  <c r="L19" i="2"/>
  <c r="K19" i="2"/>
  <c r="AB24" i="2"/>
  <c r="AC24" i="2" s="1"/>
  <c r="Z24" i="2"/>
  <c r="AA24" i="2" s="1"/>
  <c r="X24" i="2"/>
  <c r="Y24" i="2" s="1"/>
  <c r="V24" i="2"/>
  <c r="W24" i="2" s="1"/>
  <c r="U24" i="2"/>
  <c r="T24" i="2"/>
  <c r="R24" i="2"/>
  <c r="S24" i="2" s="1"/>
  <c r="P24" i="2"/>
  <c r="Q24" i="2" s="1"/>
  <c r="N24" i="2"/>
  <c r="O24" i="2" s="1"/>
  <c r="M24" i="2"/>
  <c r="L24" i="2"/>
  <c r="K24" i="2"/>
  <c r="AC29" i="2"/>
  <c r="AA29" i="2"/>
  <c r="Y29" i="2"/>
  <c r="W29" i="2"/>
  <c r="U29" i="2"/>
  <c r="S29" i="2"/>
  <c r="Q29" i="2"/>
  <c r="O29" i="2"/>
  <c r="M29" i="2"/>
  <c r="AC12" i="2"/>
  <c r="W12" i="2"/>
  <c r="U12" i="2"/>
  <c r="Q12" i="2"/>
  <c r="O12" i="2"/>
  <c r="M12" i="2"/>
  <c r="M39" i="2" s="1"/>
  <c r="Y31" i="2"/>
  <c r="W31" i="2"/>
  <c r="U31" i="2"/>
  <c r="S31" i="2"/>
  <c r="Q31" i="2"/>
  <c r="O31" i="2"/>
  <c r="M31" i="2"/>
  <c r="K31" i="2"/>
  <c r="AC16" i="2"/>
  <c r="AA16" i="2"/>
  <c r="Y16" i="2"/>
  <c r="W16" i="2"/>
  <c r="U16" i="2"/>
  <c r="S16" i="2"/>
  <c r="O16" i="2"/>
  <c r="M16" i="2"/>
  <c r="V30" i="2"/>
  <c r="W30" i="2" s="1"/>
  <c r="U30" i="2"/>
  <c r="T30" i="2"/>
  <c r="R30" i="2"/>
  <c r="S30" i="2" s="1"/>
  <c r="P30" i="2"/>
  <c r="Q30" i="2" s="1"/>
  <c r="M30" i="2"/>
  <c r="K30" i="2"/>
  <c r="AC30" i="2"/>
  <c r="Y30" i="2"/>
  <c r="AC27" i="2"/>
  <c r="AC11" i="2"/>
  <c r="AA11" i="2"/>
  <c r="Y11" i="2"/>
  <c r="Y39" i="2" s="1"/>
  <c r="W11" i="2"/>
  <c r="U11" i="2"/>
  <c r="Q11" i="2"/>
  <c r="Q39" i="2" s="1"/>
  <c r="O27" i="2"/>
  <c r="O11" i="2"/>
  <c r="M27" i="2"/>
  <c r="H11" i="2"/>
  <c r="I11" i="2" s="1"/>
  <c r="G11" i="2"/>
  <c r="J39" i="2" l="1"/>
  <c r="S39" i="2"/>
  <c r="W39" i="2"/>
  <c r="AC39" i="2"/>
  <c r="L39" i="2"/>
  <c r="U14" i="2"/>
  <c r="U39" i="2" s="1"/>
  <c r="K17" i="2"/>
  <c r="K39" i="2" s="1"/>
  <c r="AA23" i="2"/>
  <c r="AA39" i="2"/>
  <c r="H39" i="2"/>
  <c r="R39" i="2"/>
  <c r="O32" i="2"/>
  <c r="O39" i="2" s="1"/>
  <c r="X39" i="2"/>
  <c r="P39" i="2"/>
  <c r="F39" i="2"/>
  <c r="V39" i="2"/>
  <c r="AG39" i="2"/>
  <c r="I39" i="2"/>
  <c r="G39" i="2"/>
</calcChain>
</file>

<file path=xl/sharedStrings.xml><?xml version="1.0" encoding="utf-8"?>
<sst xmlns="http://schemas.openxmlformats.org/spreadsheetml/2006/main" count="92" uniqueCount="45">
  <si>
    <t>№ з/п</t>
  </si>
  <si>
    <t>Назва структурного підрозділу та посад</t>
  </si>
  <si>
    <t>Класифікаційний код посади*</t>
  </si>
  <si>
    <t>Директор Департаменту</t>
  </si>
  <si>
    <t>1-ІІ-2</t>
  </si>
  <si>
    <t>Головний спеціаліст з управління персоналом</t>
  </si>
  <si>
    <t>24-VIІ-2</t>
  </si>
  <si>
    <t>Управління цифрової трансформації</t>
  </si>
  <si>
    <t>Заступник директора Департаменту - начальник управління</t>
  </si>
  <si>
    <t>Відділ цифрового розвитку</t>
  </si>
  <si>
    <t>Заступник  начальника управління - начальник відділу</t>
  </si>
  <si>
    <t>25-IV-2</t>
  </si>
  <si>
    <t>Головний спеціаліст</t>
  </si>
  <si>
    <t>25-VII-2</t>
  </si>
  <si>
    <t>Провідний консультант</t>
  </si>
  <si>
    <t>Разом:</t>
  </si>
  <si>
    <t>Відділ адміністративних послуг</t>
  </si>
  <si>
    <t>Начальник відділу</t>
  </si>
  <si>
    <t>25-VI-2</t>
  </si>
  <si>
    <t>Відділ організаційно-фінансового забезпечення</t>
  </si>
  <si>
    <t>Начальник відділу - головний бухгалтер</t>
  </si>
  <si>
    <t>4-VI-2</t>
  </si>
  <si>
    <t>8-VII-2</t>
  </si>
  <si>
    <t>26-VII-2</t>
  </si>
  <si>
    <t>Відділ інноваційного розвитку</t>
  </si>
  <si>
    <t xml:space="preserve"> 25-VII-2</t>
  </si>
  <si>
    <t>нараховано</t>
  </si>
  <si>
    <t>виплачено</t>
  </si>
  <si>
    <t>СІЧЕНЬ 2025</t>
  </si>
  <si>
    <t>ЛЮТИЙ 2025</t>
  </si>
  <si>
    <t xml:space="preserve">БЕРЕЗЕНЬ 2025 </t>
  </si>
  <si>
    <t xml:space="preserve">КВІТЕНЬ 2025 </t>
  </si>
  <si>
    <t>ТРАВЕНЬ 2025</t>
  </si>
  <si>
    <t>ЧЕРВЕНЬ 2025</t>
  </si>
  <si>
    <t>ЛИПЕНЬ 2025</t>
  </si>
  <si>
    <t>СЕРПНЬ 2025</t>
  </si>
  <si>
    <t>ВЕРЕСЕНЬ 2025</t>
  </si>
  <si>
    <t>ЖОВТЕНЬ 2025</t>
  </si>
  <si>
    <t>ЛИСТОПАД 2025</t>
  </si>
  <si>
    <t>ГРУДЕНЬ 2025</t>
  </si>
  <si>
    <t>СІЧЕНЬ 2026</t>
  </si>
  <si>
    <t>ЛЮТИЙ 2026</t>
  </si>
  <si>
    <t xml:space="preserve"> по Департаменту цифрової трансформації регіону  Харківської обласної державної (військової) адміністрації</t>
  </si>
  <si>
    <r>
      <rPr>
        <sz val="10"/>
        <color indexed="8"/>
        <rFont val="Times New Roman"/>
        <family val="1"/>
        <charset val="204"/>
      </rPr>
      <t>Заступник  начальника управління - начальник відділу</t>
    </r>
  </si>
  <si>
    <t>Інформація про заробітну плату кожного працівника за 2025 р. та за січень - лютий 2026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</si>
</sst>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rgb="FF24242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color theme="9" tint="0.59999389629810485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2" fillId="0" borderId="0" xfId="1" applyFont="1"/>
    <xf numFmtId="0" fontId="1" fillId="0" borderId="0" xfId="1"/>
    <xf numFmtId="0" fontId="4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6" fillId="0" borderId="0" xfId="1" applyFont="1" applyAlignment="1">
      <alignment vertical="center" wrapText="1"/>
    </xf>
    <xf numFmtId="0" fontId="4" fillId="0" borderId="0" xfId="1" applyFont="1"/>
    <xf numFmtId="164" fontId="4" fillId="0" borderId="0" xfId="1" applyNumberFormat="1" applyFont="1"/>
    <xf numFmtId="164" fontId="1" fillId="0" borderId="0" xfId="1" applyNumberFormat="1"/>
    <xf numFmtId="0" fontId="2" fillId="0" borderId="3" xfId="1" applyFont="1" applyBorder="1" applyAlignment="1">
      <alignment horizontal="center" vertical="center" wrapText="1"/>
    </xf>
    <xf numFmtId="0" fontId="1" fillId="2" borderId="0" xfId="1" applyFill="1"/>
    <xf numFmtId="0" fontId="10" fillId="2" borderId="0" xfId="1" applyFont="1" applyFill="1"/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/>
    </xf>
    <xf numFmtId="0" fontId="9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 wrapText="1"/>
    </xf>
    <xf numFmtId="0" fontId="1" fillId="3" borderId="0" xfId="1" applyFill="1"/>
    <xf numFmtId="0" fontId="6" fillId="3" borderId="0" xfId="1" applyFont="1" applyFill="1" applyAlignment="1">
      <alignment vertical="center" wrapText="1"/>
    </xf>
    <xf numFmtId="0" fontId="4" fillId="3" borderId="0" xfId="1" applyFont="1" applyFill="1"/>
    <xf numFmtId="2" fontId="2" fillId="3" borderId="3" xfId="1" applyNumberFormat="1" applyFont="1" applyFill="1" applyBorder="1" applyAlignment="1">
      <alignment horizontal="center" vertical="center" wrapText="1"/>
    </xf>
    <xf numFmtId="164" fontId="4" fillId="3" borderId="0" xfId="1" applyNumberFormat="1" applyFont="1" applyFill="1"/>
    <xf numFmtId="0" fontId="2" fillId="3" borderId="0" xfId="1" applyFont="1" applyFill="1"/>
    <xf numFmtId="0" fontId="5" fillId="0" borderId="0" xfId="1" applyFont="1" applyBorder="1" applyAlignment="1">
      <alignment horizontal="left" wrapText="1"/>
    </xf>
    <xf numFmtId="0" fontId="5" fillId="3" borderId="0" xfId="1" applyFont="1" applyFill="1" applyBorder="1"/>
    <xf numFmtId="0" fontId="5" fillId="0" borderId="0" xfId="1" applyFont="1" applyBorder="1"/>
    <xf numFmtId="0" fontId="4" fillId="0" borderId="0" xfId="1" applyFont="1" applyBorder="1" applyAlignment="1">
      <alignment horizontal="left" wrapText="1"/>
    </xf>
    <xf numFmtId="0" fontId="4" fillId="0" borderId="0" xfId="1" applyFont="1" applyBorder="1" applyAlignment="1">
      <alignment horizontal="center" wrapText="1"/>
    </xf>
    <xf numFmtId="0" fontId="5" fillId="0" borderId="0" xfId="1" applyFont="1" applyBorder="1" applyAlignment="1">
      <alignment horizontal="center"/>
    </xf>
    <xf numFmtId="0" fontId="1" fillId="0" borderId="0" xfId="1" applyBorder="1"/>
    <xf numFmtId="0" fontId="1" fillId="3" borderId="0" xfId="1" applyFill="1" applyBorder="1"/>
    <xf numFmtId="0" fontId="8" fillId="0" borderId="0" xfId="1" applyFont="1" applyBorder="1" applyAlignment="1">
      <alignment horizontal="left" wrapText="1"/>
    </xf>
    <xf numFmtId="0" fontId="4" fillId="3" borderId="0" xfId="1" applyFont="1" applyFill="1" applyBorder="1" applyAlignment="1">
      <alignment horizontal="left" wrapText="1"/>
    </xf>
    <xf numFmtId="0" fontId="8" fillId="0" borderId="0" xfId="1" applyFont="1" applyBorder="1" applyAlignment="1">
      <alignment horizontal="center"/>
    </xf>
    <xf numFmtId="0" fontId="4" fillId="0" borderId="0" xfId="1" applyFont="1" applyBorder="1"/>
    <xf numFmtId="0" fontId="4" fillId="3" borderId="0" xfId="1" applyFont="1" applyFill="1" applyBorder="1"/>
    <xf numFmtId="0" fontId="11" fillId="3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/>
    </xf>
    <xf numFmtId="164" fontId="11" fillId="3" borderId="1" xfId="1" applyNumberFormat="1" applyFont="1" applyFill="1" applyBorder="1" applyAlignment="1">
      <alignment horizontal="center" vertical="center" wrapText="1"/>
    </xf>
    <xf numFmtId="2" fontId="11" fillId="3" borderId="1" xfId="1" applyNumberFormat="1" applyFont="1" applyFill="1" applyBorder="1" applyAlignment="1">
      <alignment horizontal="center" vertical="center" wrapText="1"/>
    </xf>
    <xf numFmtId="2" fontId="12" fillId="3" borderId="1" xfId="1" applyNumberFormat="1" applyFont="1" applyFill="1" applyBorder="1" applyAlignment="1">
      <alignment horizontal="center" vertical="center" wrapText="1"/>
    </xf>
    <xf numFmtId="0" fontId="12" fillId="3" borderId="1" xfId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/>
    </xf>
    <xf numFmtId="0" fontId="15" fillId="3" borderId="1" xfId="1" applyFont="1" applyFill="1" applyBorder="1" applyAlignment="1">
      <alignment horizontal="center" vertical="center"/>
    </xf>
    <xf numFmtId="164" fontId="12" fillId="3" borderId="1" xfId="1" applyNumberFormat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 wrapText="1"/>
    </xf>
  </cellXfs>
  <cellStyles count="2">
    <cellStyle name="Звичайний" xfId="0" builtinId="0"/>
    <cellStyle name="Звичайний 2" xfId="1" xr:uid="{2C7B9013-C617-420F-967F-F98164D5A8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430CB-51A3-4810-97D4-39D0E174A5B2}">
  <dimension ref="A2:AJ46"/>
  <sheetViews>
    <sheetView tabSelected="1" view="pageBreakPreview" zoomScale="85" zoomScaleNormal="100" zoomScaleSheetLayoutView="85" workbookViewId="0">
      <selection activeCell="O11" sqref="O11"/>
    </sheetView>
  </sheetViews>
  <sheetFormatPr defaultRowHeight="14.4" x14ac:dyDescent="0.3"/>
  <cols>
    <col min="1" max="1" width="5.33203125" style="2" customWidth="1"/>
    <col min="2" max="3" width="8.88671875" style="2"/>
    <col min="4" max="4" width="6.109375" style="2" customWidth="1"/>
    <col min="5" max="5" width="8.33203125" style="2" customWidth="1"/>
    <col min="6" max="6" width="9.44140625" style="2" customWidth="1"/>
    <col min="7" max="7" width="9.88671875" style="2" customWidth="1"/>
    <col min="8" max="8" width="10.77734375" style="23" customWidth="1"/>
    <col min="9" max="9" width="10.5546875" style="2" customWidth="1"/>
    <col min="10" max="10" width="13" style="23" customWidth="1"/>
    <col min="11" max="11" width="11.77734375" style="2" customWidth="1"/>
    <col min="12" max="12" width="10.33203125" style="2" customWidth="1"/>
    <col min="13" max="13" width="11.44140625" style="2" customWidth="1"/>
    <col min="14" max="14" width="13.5546875" style="23" customWidth="1"/>
    <col min="15" max="15" width="9.77734375" style="2" customWidth="1"/>
    <col min="16" max="16" width="10.109375" style="23" customWidth="1"/>
    <col min="17" max="17" width="10.33203125" style="2" bestFit="1" customWidth="1"/>
    <col min="18" max="18" width="10.44140625" style="23" customWidth="1"/>
    <col min="19" max="21" width="10.33203125" style="2" customWidth="1"/>
    <col min="22" max="22" width="10.33203125" style="23" customWidth="1"/>
    <col min="23" max="25" width="10.33203125" style="2" customWidth="1"/>
    <col min="26" max="26" width="10.77734375" style="2" customWidth="1"/>
    <col min="27" max="30" width="10" style="2" customWidth="1"/>
    <col min="31" max="31" width="9.21875" style="2" customWidth="1"/>
    <col min="32" max="32" width="12.109375" style="23" customWidth="1"/>
    <col min="33" max="33" width="12.33203125" style="2" customWidth="1"/>
    <col min="34" max="264" width="8.88671875" style="2"/>
    <col min="265" max="265" width="5.33203125" style="2" customWidth="1"/>
    <col min="266" max="267" width="8.88671875" style="2"/>
    <col min="268" max="268" width="6.109375" style="2" customWidth="1"/>
    <col min="269" max="269" width="11" style="2" customWidth="1"/>
    <col min="270" max="270" width="10.44140625" style="2" customWidth="1"/>
    <col min="271" max="271" width="18.109375" style="2" customWidth="1"/>
    <col min="272" max="272" width="11.21875" style="2" customWidth="1"/>
    <col min="273" max="273" width="10.109375" style="2" customWidth="1"/>
    <col min="274" max="274" width="10.77734375" style="2" customWidth="1"/>
    <col min="275" max="275" width="8.44140625" style="2" customWidth="1"/>
    <col min="276" max="276" width="12.109375" style="2" customWidth="1"/>
    <col min="277" max="277" width="10.109375" style="2" bestFit="1" customWidth="1"/>
    <col min="278" max="278" width="6" style="2" customWidth="1"/>
    <col min="279" max="281" width="9" style="2" bestFit="1" customWidth="1"/>
    <col min="282" max="282" width="10.44140625" style="2" customWidth="1"/>
    <col min="283" max="284" width="10.33203125" style="2" customWidth="1"/>
    <col min="285" max="285" width="13" style="2" customWidth="1"/>
    <col min="286" max="286" width="11.109375" style="2" customWidth="1"/>
    <col min="287" max="287" width="12.33203125" style="2" customWidth="1"/>
    <col min="288" max="288" width="12.6640625" style="2" customWidth="1"/>
    <col min="289" max="289" width="12" style="2" customWidth="1"/>
    <col min="290" max="520" width="8.88671875" style="2"/>
    <col min="521" max="521" width="5.33203125" style="2" customWidth="1"/>
    <col min="522" max="523" width="8.88671875" style="2"/>
    <col min="524" max="524" width="6.109375" style="2" customWidth="1"/>
    <col min="525" max="525" width="11" style="2" customWidth="1"/>
    <col min="526" max="526" width="10.44140625" style="2" customWidth="1"/>
    <col min="527" max="527" width="18.109375" style="2" customWidth="1"/>
    <col min="528" max="528" width="11.21875" style="2" customWidth="1"/>
    <col min="529" max="529" width="10.109375" style="2" customWidth="1"/>
    <col min="530" max="530" width="10.77734375" style="2" customWidth="1"/>
    <col min="531" max="531" width="8.44140625" style="2" customWidth="1"/>
    <col min="532" max="532" width="12.109375" style="2" customWidth="1"/>
    <col min="533" max="533" width="10.109375" style="2" bestFit="1" customWidth="1"/>
    <col min="534" max="534" width="6" style="2" customWidth="1"/>
    <col min="535" max="537" width="9" style="2" bestFit="1" customWidth="1"/>
    <col min="538" max="538" width="10.44140625" style="2" customWidth="1"/>
    <col min="539" max="540" width="10.33203125" style="2" customWidth="1"/>
    <col min="541" max="541" width="13" style="2" customWidth="1"/>
    <col min="542" max="542" width="11.109375" style="2" customWidth="1"/>
    <col min="543" max="543" width="12.33203125" style="2" customWidth="1"/>
    <col min="544" max="544" width="12.6640625" style="2" customWidth="1"/>
    <col min="545" max="545" width="12" style="2" customWidth="1"/>
    <col min="546" max="776" width="8.88671875" style="2"/>
    <col min="777" max="777" width="5.33203125" style="2" customWidth="1"/>
    <col min="778" max="779" width="8.88671875" style="2"/>
    <col min="780" max="780" width="6.109375" style="2" customWidth="1"/>
    <col min="781" max="781" width="11" style="2" customWidth="1"/>
    <col min="782" max="782" width="10.44140625" style="2" customWidth="1"/>
    <col min="783" max="783" width="18.109375" style="2" customWidth="1"/>
    <col min="784" max="784" width="11.21875" style="2" customWidth="1"/>
    <col min="785" max="785" width="10.109375" style="2" customWidth="1"/>
    <col min="786" max="786" width="10.77734375" style="2" customWidth="1"/>
    <col min="787" max="787" width="8.44140625" style="2" customWidth="1"/>
    <col min="788" max="788" width="12.109375" style="2" customWidth="1"/>
    <col min="789" max="789" width="10.109375" style="2" bestFit="1" customWidth="1"/>
    <col min="790" max="790" width="6" style="2" customWidth="1"/>
    <col min="791" max="793" width="9" style="2" bestFit="1" customWidth="1"/>
    <col min="794" max="794" width="10.44140625" style="2" customWidth="1"/>
    <col min="795" max="796" width="10.33203125" style="2" customWidth="1"/>
    <col min="797" max="797" width="13" style="2" customWidth="1"/>
    <col min="798" max="798" width="11.109375" style="2" customWidth="1"/>
    <col min="799" max="799" width="12.33203125" style="2" customWidth="1"/>
    <col min="800" max="800" width="12.6640625" style="2" customWidth="1"/>
    <col min="801" max="801" width="12" style="2" customWidth="1"/>
    <col min="802" max="1032" width="8.88671875" style="2"/>
    <col min="1033" max="1033" width="5.33203125" style="2" customWidth="1"/>
    <col min="1034" max="1035" width="8.88671875" style="2"/>
    <col min="1036" max="1036" width="6.109375" style="2" customWidth="1"/>
    <col min="1037" max="1037" width="11" style="2" customWidth="1"/>
    <col min="1038" max="1038" width="10.44140625" style="2" customWidth="1"/>
    <col min="1039" max="1039" width="18.109375" style="2" customWidth="1"/>
    <col min="1040" max="1040" width="11.21875" style="2" customWidth="1"/>
    <col min="1041" max="1041" width="10.109375" style="2" customWidth="1"/>
    <col min="1042" max="1042" width="10.77734375" style="2" customWidth="1"/>
    <col min="1043" max="1043" width="8.44140625" style="2" customWidth="1"/>
    <col min="1044" max="1044" width="12.109375" style="2" customWidth="1"/>
    <col min="1045" max="1045" width="10.109375" style="2" bestFit="1" customWidth="1"/>
    <col min="1046" max="1046" width="6" style="2" customWidth="1"/>
    <col min="1047" max="1049" width="9" style="2" bestFit="1" customWidth="1"/>
    <col min="1050" max="1050" width="10.44140625" style="2" customWidth="1"/>
    <col min="1051" max="1052" width="10.33203125" style="2" customWidth="1"/>
    <col min="1053" max="1053" width="13" style="2" customWidth="1"/>
    <col min="1054" max="1054" width="11.109375" style="2" customWidth="1"/>
    <col min="1055" max="1055" width="12.33203125" style="2" customWidth="1"/>
    <col min="1056" max="1056" width="12.6640625" style="2" customWidth="1"/>
    <col min="1057" max="1057" width="12" style="2" customWidth="1"/>
    <col min="1058" max="1288" width="8.88671875" style="2"/>
    <col min="1289" max="1289" width="5.33203125" style="2" customWidth="1"/>
    <col min="1290" max="1291" width="8.88671875" style="2"/>
    <col min="1292" max="1292" width="6.109375" style="2" customWidth="1"/>
    <col min="1293" max="1293" width="11" style="2" customWidth="1"/>
    <col min="1294" max="1294" width="10.44140625" style="2" customWidth="1"/>
    <col min="1295" max="1295" width="18.109375" style="2" customWidth="1"/>
    <col min="1296" max="1296" width="11.21875" style="2" customWidth="1"/>
    <col min="1297" max="1297" width="10.109375" style="2" customWidth="1"/>
    <col min="1298" max="1298" width="10.77734375" style="2" customWidth="1"/>
    <col min="1299" max="1299" width="8.44140625" style="2" customWidth="1"/>
    <col min="1300" max="1300" width="12.109375" style="2" customWidth="1"/>
    <col min="1301" max="1301" width="10.109375" style="2" bestFit="1" customWidth="1"/>
    <col min="1302" max="1302" width="6" style="2" customWidth="1"/>
    <col min="1303" max="1305" width="9" style="2" bestFit="1" customWidth="1"/>
    <col min="1306" max="1306" width="10.44140625" style="2" customWidth="1"/>
    <col min="1307" max="1308" width="10.33203125" style="2" customWidth="1"/>
    <col min="1309" max="1309" width="13" style="2" customWidth="1"/>
    <col min="1310" max="1310" width="11.109375" style="2" customWidth="1"/>
    <col min="1311" max="1311" width="12.33203125" style="2" customWidth="1"/>
    <col min="1312" max="1312" width="12.6640625" style="2" customWidth="1"/>
    <col min="1313" max="1313" width="12" style="2" customWidth="1"/>
    <col min="1314" max="1544" width="8.88671875" style="2"/>
    <col min="1545" max="1545" width="5.33203125" style="2" customWidth="1"/>
    <col min="1546" max="1547" width="8.88671875" style="2"/>
    <col min="1548" max="1548" width="6.109375" style="2" customWidth="1"/>
    <col min="1549" max="1549" width="11" style="2" customWidth="1"/>
    <col min="1550" max="1550" width="10.44140625" style="2" customWidth="1"/>
    <col min="1551" max="1551" width="18.109375" style="2" customWidth="1"/>
    <col min="1552" max="1552" width="11.21875" style="2" customWidth="1"/>
    <col min="1553" max="1553" width="10.109375" style="2" customWidth="1"/>
    <col min="1554" max="1554" width="10.77734375" style="2" customWidth="1"/>
    <col min="1555" max="1555" width="8.44140625" style="2" customWidth="1"/>
    <col min="1556" max="1556" width="12.109375" style="2" customWidth="1"/>
    <col min="1557" max="1557" width="10.109375" style="2" bestFit="1" customWidth="1"/>
    <col min="1558" max="1558" width="6" style="2" customWidth="1"/>
    <col min="1559" max="1561" width="9" style="2" bestFit="1" customWidth="1"/>
    <col min="1562" max="1562" width="10.44140625" style="2" customWidth="1"/>
    <col min="1563" max="1564" width="10.33203125" style="2" customWidth="1"/>
    <col min="1565" max="1565" width="13" style="2" customWidth="1"/>
    <col min="1566" max="1566" width="11.109375" style="2" customWidth="1"/>
    <col min="1567" max="1567" width="12.33203125" style="2" customWidth="1"/>
    <col min="1568" max="1568" width="12.6640625" style="2" customWidth="1"/>
    <col min="1569" max="1569" width="12" style="2" customWidth="1"/>
    <col min="1570" max="1800" width="8.88671875" style="2"/>
    <col min="1801" max="1801" width="5.33203125" style="2" customWidth="1"/>
    <col min="1802" max="1803" width="8.88671875" style="2"/>
    <col min="1804" max="1804" width="6.109375" style="2" customWidth="1"/>
    <col min="1805" max="1805" width="11" style="2" customWidth="1"/>
    <col min="1806" max="1806" width="10.44140625" style="2" customWidth="1"/>
    <col min="1807" max="1807" width="18.109375" style="2" customWidth="1"/>
    <col min="1808" max="1808" width="11.21875" style="2" customWidth="1"/>
    <col min="1809" max="1809" width="10.109375" style="2" customWidth="1"/>
    <col min="1810" max="1810" width="10.77734375" style="2" customWidth="1"/>
    <col min="1811" max="1811" width="8.44140625" style="2" customWidth="1"/>
    <col min="1812" max="1812" width="12.109375" style="2" customWidth="1"/>
    <col min="1813" max="1813" width="10.109375" style="2" bestFit="1" customWidth="1"/>
    <col min="1814" max="1814" width="6" style="2" customWidth="1"/>
    <col min="1815" max="1817" width="9" style="2" bestFit="1" customWidth="1"/>
    <col min="1818" max="1818" width="10.44140625" style="2" customWidth="1"/>
    <col min="1819" max="1820" width="10.33203125" style="2" customWidth="1"/>
    <col min="1821" max="1821" width="13" style="2" customWidth="1"/>
    <col min="1822" max="1822" width="11.109375" style="2" customWidth="1"/>
    <col min="1823" max="1823" width="12.33203125" style="2" customWidth="1"/>
    <col min="1824" max="1824" width="12.6640625" style="2" customWidth="1"/>
    <col min="1825" max="1825" width="12" style="2" customWidth="1"/>
    <col min="1826" max="2056" width="8.88671875" style="2"/>
    <col min="2057" max="2057" width="5.33203125" style="2" customWidth="1"/>
    <col min="2058" max="2059" width="8.88671875" style="2"/>
    <col min="2060" max="2060" width="6.109375" style="2" customWidth="1"/>
    <col min="2061" max="2061" width="11" style="2" customWidth="1"/>
    <col min="2062" max="2062" width="10.44140625" style="2" customWidth="1"/>
    <col min="2063" max="2063" width="18.109375" style="2" customWidth="1"/>
    <col min="2064" max="2064" width="11.21875" style="2" customWidth="1"/>
    <col min="2065" max="2065" width="10.109375" style="2" customWidth="1"/>
    <col min="2066" max="2066" width="10.77734375" style="2" customWidth="1"/>
    <col min="2067" max="2067" width="8.44140625" style="2" customWidth="1"/>
    <col min="2068" max="2068" width="12.109375" style="2" customWidth="1"/>
    <col min="2069" max="2069" width="10.109375" style="2" bestFit="1" customWidth="1"/>
    <col min="2070" max="2070" width="6" style="2" customWidth="1"/>
    <col min="2071" max="2073" width="9" style="2" bestFit="1" customWidth="1"/>
    <col min="2074" max="2074" width="10.44140625" style="2" customWidth="1"/>
    <col min="2075" max="2076" width="10.33203125" style="2" customWidth="1"/>
    <col min="2077" max="2077" width="13" style="2" customWidth="1"/>
    <col min="2078" max="2078" width="11.109375" style="2" customWidth="1"/>
    <col min="2079" max="2079" width="12.33203125" style="2" customWidth="1"/>
    <col min="2080" max="2080" width="12.6640625" style="2" customWidth="1"/>
    <col min="2081" max="2081" width="12" style="2" customWidth="1"/>
    <col min="2082" max="2312" width="8.88671875" style="2"/>
    <col min="2313" max="2313" width="5.33203125" style="2" customWidth="1"/>
    <col min="2314" max="2315" width="8.88671875" style="2"/>
    <col min="2316" max="2316" width="6.109375" style="2" customWidth="1"/>
    <col min="2317" max="2317" width="11" style="2" customWidth="1"/>
    <col min="2318" max="2318" width="10.44140625" style="2" customWidth="1"/>
    <col min="2319" max="2319" width="18.109375" style="2" customWidth="1"/>
    <col min="2320" max="2320" width="11.21875" style="2" customWidth="1"/>
    <col min="2321" max="2321" width="10.109375" style="2" customWidth="1"/>
    <col min="2322" max="2322" width="10.77734375" style="2" customWidth="1"/>
    <col min="2323" max="2323" width="8.44140625" style="2" customWidth="1"/>
    <col min="2324" max="2324" width="12.109375" style="2" customWidth="1"/>
    <col min="2325" max="2325" width="10.109375" style="2" bestFit="1" customWidth="1"/>
    <col min="2326" max="2326" width="6" style="2" customWidth="1"/>
    <col min="2327" max="2329" width="9" style="2" bestFit="1" customWidth="1"/>
    <col min="2330" max="2330" width="10.44140625" style="2" customWidth="1"/>
    <col min="2331" max="2332" width="10.33203125" style="2" customWidth="1"/>
    <col min="2333" max="2333" width="13" style="2" customWidth="1"/>
    <col min="2334" max="2334" width="11.109375" style="2" customWidth="1"/>
    <col min="2335" max="2335" width="12.33203125" style="2" customWidth="1"/>
    <col min="2336" max="2336" width="12.6640625" style="2" customWidth="1"/>
    <col min="2337" max="2337" width="12" style="2" customWidth="1"/>
    <col min="2338" max="2568" width="8.88671875" style="2"/>
    <col min="2569" max="2569" width="5.33203125" style="2" customWidth="1"/>
    <col min="2570" max="2571" width="8.88671875" style="2"/>
    <col min="2572" max="2572" width="6.109375" style="2" customWidth="1"/>
    <col min="2573" max="2573" width="11" style="2" customWidth="1"/>
    <col min="2574" max="2574" width="10.44140625" style="2" customWidth="1"/>
    <col min="2575" max="2575" width="18.109375" style="2" customWidth="1"/>
    <col min="2576" max="2576" width="11.21875" style="2" customWidth="1"/>
    <col min="2577" max="2577" width="10.109375" style="2" customWidth="1"/>
    <col min="2578" max="2578" width="10.77734375" style="2" customWidth="1"/>
    <col min="2579" max="2579" width="8.44140625" style="2" customWidth="1"/>
    <col min="2580" max="2580" width="12.109375" style="2" customWidth="1"/>
    <col min="2581" max="2581" width="10.109375" style="2" bestFit="1" customWidth="1"/>
    <col min="2582" max="2582" width="6" style="2" customWidth="1"/>
    <col min="2583" max="2585" width="9" style="2" bestFit="1" customWidth="1"/>
    <col min="2586" max="2586" width="10.44140625" style="2" customWidth="1"/>
    <col min="2587" max="2588" width="10.33203125" style="2" customWidth="1"/>
    <col min="2589" max="2589" width="13" style="2" customWidth="1"/>
    <col min="2590" max="2590" width="11.109375" style="2" customWidth="1"/>
    <col min="2591" max="2591" width="12.33203125" style="2" customWidth="1"/>
    <col min="2592" max="2592" width="12.6640625" style="2" customWidth="1"/>
    <col min="2593" max="2593" width="12" style="2" customWidth="1"/>
    <col min="2594" max="2824" width="8.88671875" style="2"/>
    <col min="2825" max="2825" width="5.33203125" style="2" customWidth="1"/>
    <col min="2826" max="2827" width="8.88671875" style="2"/>
    <col min="2828" max="2828" width="6.109375" style="2" customWidth="1"/>
    <col min="2829" max="2829" width="11" style="2" customWidth="1"/>
    <col min="2830" max="2830" width="10.44140625" style="2" customWidth="1"/>
    <col min="2831" max="2831" width="18.109375" style="2" customWidth="1"/>
    <col min="2832" max="2832" width="11.21875" style="2" customWidth="1"/>
    <col min="2833" max="2833" width="10.109375" style="2" customWidth="1"/>
    <col min="2834" max="2834" width="10.77734375" style="2" customWidth="1"/>
    <col min="2835" max="2835" width="8.44140625" style="2" customWidth="1"/>
    <col min="2836" max="2836" width="12.109375" style="2" customWidth="1"/>
    <col min="2837" max="2837" width="10.109375" style="2" bestFit="1" customWidth="1"/>
    <col min="2838" max="2838" width="6" style="2" customWidth="1"/>
    <col min="2839" max="2841" width="9" style="2" bestFit="1" customWidth="1"/>
    <col min="2842" max="2842" width="10.44140625" style="2" customWidth="1"/>
    <col min="2843" max="2844" width="10.33203125" style="2" customWidth="1"/>
    <col min="2845" max="2845" width="13" style="2" customWidth="1"/>
    <col min="2846" max="2846" width="11.109375" style="2" customWidth="1"/>
    <col min="2847" max="2847" width="12.33203125" style="2" customWidth="1"/>
    <col min="2848" max="2848" width="12.6640625" style="2" customWidth="1"/>
    <col min="2849" max="2849" width="12" style="2" customWidth="1"/>
    <col min="2850" max="3080" width="8.88671875" style="2"/>
    <col min="3081" max="3081" width="5.33203125" style="2" customWidth="1"/>
    <col min="3082" max="3083" width="8.88671875" style="2"/>
    <col min="3084" max="3084" width="6.109375" style="2" customWidth="1"/>
    <col min="3085" max="3085" width="11" style="2" customWidth="1"/>
    <col min="3086" max="3086" width="10.44140625" style="2" customWidth="1"/>
    <col min="3087" max="3087" width="18.109375" style="2" customWidth="1"/>
    <col min="3088" max="3088" width="11.21875" style="2" customWidth="1"/>
    <col min="3089" max="3089" width="10.109375" style="2" customWidth="1"/>
    <col min="3090" max="3090" width="10.77734375" style="2" customWidth="1"/>
    <col min="3091" max="3091" width="8.44140625" style="2" customWidth="1"/>
    <col min="3092" max="3092" width="12.109375" style="2" customWidth="1"/>
    <col min="3093" max="3093" width="10.109375" style="2" bestFit="1" customWidth="1"/>
    <col min="3094" max="3094" width="6" style="2" customWidth="1"/>
    <col min="3095" max="3097" width="9" style="2" bestFit="1" customWidth="1"/>
    <col min="3098" max="3098" width="10.44140625" style="2" customWidth="1"/>
    <col min="3099" max="3100" width="10.33203125" style="2" customWidth="1"/>
    <col min="3101" max="3101" width="13" style="2" customWidth="1"/>
    <col min="3102" max="3102" width="11.109375" style="2" customWidth="1"/>
    <col min="3103" max="3103" width="12.33203125" style="2" customWidth="1"/>
    <col min="3104" max="3104" width="12.6640625" style="2" customWidth="1"/>
    <col min="3105" max="3105" width="12" style="2" customWidth="1"/>
    <col min="3106" max="3336" width="8.88671875" style="2"/>
    <col min="3337" max="3337" width="5.33203125" style="2" customWidth="1"/>
    <col min="3338" max="3339" width="8.88671875" style="2"/>
    <col min="3340" max="3340" width="6.109375" style="2" customWidth="1"/>
    <col min="3341" max="3341" width="11" style="2" customWidth="1"/>
    <col min="3342" max="3342" width="10.44140625" style="2" customWidth="1"/>
    <col min="3343" max="3343" width="18.109375" style="2" customWidth="1"/>
    <col min="3344" max="3344" width="11.21875" style="2" customWidth="1"/>
    <col min="3345" max="3345" width="10.109375" style="2" customWidth="1"/>
    <col min="3346" max="3346" width="10.77734375" style="2" customWidth="1"/>
    <col min="3347" max="3347" width="8.44140625" style="2" customWidth="1"/>
    <col min="3348" max="3348" width="12.109375" style="2" customWidth="1"/>
    <col min="3349" max="3349" width="10.109375" style="2" bestFit="1" customWidth="1"/>
    <col min="3350" max="3350" width="6" style="2" customWidth="1"/>
    <col min="3351" max="3353" width="9" style="2" bestFit="1" customWidth="1"/>
    <col min="3354" max="3354" width="10.44140625" style="2" customWidth="1"/>
    <col min="3355" max="3356" width="10.33203125" style="2" customWidth="1"/>
    <col min="3357" max="3357" width="13" style="2" customWidth="1"/>
    <col min="3358" max="3358" width="11.109375" style="2" customWidth="1"/>
    <col min="3359" max="3359" width="12.33203125" style="2" customWidth="1"/>
    <col min="3360" max="3360" width="12.6640625" style="2" customWidth="1"/>
    <col min="3361" max="3361" width="12" style="2" customWidth="1"/>
    <col min="3362" max="3592" width="8.88671875" style="2"/>
    <col min="3593" max="3593" width="5.33203125" style="2" customWidth="1"/>
    <col min="3594" max="3595" width="8.88671875" style="2"/>
    <col min="3596" max="3596" width="6.109375" style="2" customWidth="1"/>
    <col min="3597" max="3597" width="11" style="2" customWidth="1"/>
    <col min="3598" max="3598" width="10.44140625" style="2" customWidth="1"/>
    <col min="3599" max="3599" width="18.109375" style="2" customWidth="1"/>
    <col min="3600" max="3600" width="11.21875" style="2" customWidth="1"/>
    <col min="3601" max="3601" width="10.109375" style="2" customWidth="1"/>
    <col min="3602" max="3602" width="10.77734375" style="2" customWidth="1"/>
    <col min="3603" max="3603" width="8.44140625" style="2" customWidth="1"/>
    <col min="3604" max="3604" width="12.109375" style="2" customWidth="1"/>
    <col min="3605" max="3605" width="10.109375" style="2" bestFit="1" customWidth="1"/>
    <col min="3606" max="3606" width="6" style="2" customWidth="1"/>
    <col min="3607" max="3609" width="9" style="2" bestFit="1" customWidth="1"/>
    <col min="3610" max="3610" width="10.44140625" style="2" customWidth="1"/>
    <col min="3611" max="3612" width="10.33203125" style="2" customWidth="1"/>
    <col min="3613" max="3613" width="13" style="2" customWidth="1"/>
    <col min="3614" max="3614" width="11.109375" style="2" customWidth="1"/>
    <col min="3615" max="3615" width="12.33203125" style="2" customWidth="1"/>
    <col min="3616" max="3616" width="12.6640625" style="2" customWidth="1"/>
    <col min="3617" max="3617" width="12" style="2" customWidth="1"/>
    <col min="3618" max="3848" width="8.88671875" style="2"/>
    <col min="3849" max="3849" width="5.33203125" style="2" customWidth="1"/>
    <col min="3850" max="3851" width="8.88671875" style="2"/>
    <col min="3852" max="3852" width="6.109375" style="2" customWidth="1"/>
    <col min="3853" max="3853" width="11" style="2" customWidth="1"/>
    <col min="3854" max="3854" width="10.44140625" style="2" customWidth="1"/>
    <col min="3855" max="3855" width="18.109375" style="2" customWidth="1"/>
    <col min="3856" max="3856" width="11.21875" style="2" customWidth="1"/>
    <col min="3857" max="3857" width="10.109375" style="2" customWidth="1"/>
    <col min="3858" max="3858" width="10.77734375" style="2" customWidth="1"/>
    <col min="3859" max="3859" width="8.44140625" style="2" customWidth="1"/>
    <col min="3860" max="3860" width="12.109375" style="2" customWidth="1"/>
    <col min="3861" max="3861" width="10.109375" style="2" bestFit="1" customWidth="1"/>
    <col min="3862" max="3862" width="6" style="2" customWidth="1"/>
    <col min="3863" max="3865" width="9" style="2" bestFit="1" customWidth="1"/>
    <col min="3866" max="3866" width="10.44140625" style="2" customWidth="1"/>
    <col min="3867" max="3868" width="10.33203125" style="2" customWidth="1"/>
    <col min="3869" max="3869" width="13" style="2" customWidth="1"/>
    <col min="3870" max="3870" width="11.109375" style="2" customWidth="1"/>
    <col min="3871" max="3871" width="12.33203125" style="2" customWidth="1"/>
    <col min="3872" max="3872" width="12.6640625" style="2" customWidth="1"/>
    <col min="3873" max="3873" width="12" style="2" customWidth="1"/>
    <col min="3874" max="4104" width="8.88671875" style="2"/>
    <col min="4105" max="4105" width="5.33203125" style="2" customWidth="1"/>
    <col min="4106" max="4107" width="8.88671875" style="2"/>
    <col min="4108" max="4108" width="6.109375" style="2" customWidth="1"/>
    <col min="4109" max="4109" width="11" style="2" customWidth="1"/>
    <col min="4110" max="4110" width="10.44140625" style="2" customWidth="1"/>
    <col min="4111" max="4111" width="18.109375" style="2" customWidth="1"/>
    <col min="4112" max="4112" width="11.21875" style="2" customWidth="1"/>
    <col min="4113" max="4113" width="10.109375" style="2" customWidth="1"/>
    <col min="4114" max="4114" width="10.77734375" style="2" customWidth="1"/>
    <col min="4115" max="4115" width="8.44140625" style="2" customWidth="1"/>
    <col min="4116" max="4116" width="12.109375" style="2" customWidth="1"/>
    <col min="4117" max="4117" width="10.109375" style="2" bestFit="1" customWidth="1"/>
    <col min="4118" max="4118" width="6" style="2" customWidth="1"/>
    <col min="4119" max="4121" width="9" style="2" bestFit="1" customWidth="1"/>
    <col min="4122" max="4122" width="10.44140625" style="2" customWidth="1"/>
    <col min="4123" max="4124" width="10.33203125" style="2" customWidth="1"/>
    <col min="4125" max="4125" width="13" style="2" customWidth="1"/>
    <col min="4126" max="4126" width="11.109375" style="2" customWidth="1"/>
    <col min="4127" max="4127" width="12.33203125" style="2" customWidth="1"/>
    <col min="4128" max="4128" width="12.6640625" style="2" customWidth="1"/>
    <col min="4129" max="4129" width="12" style="2" customWidth="1"/>
    <col min="4130" max="4360" width="8.88671875" style="2"/>
    <col min="4361" max="4361" width="5.33203125" style="2" customWidth="1"/>
    <col min="4362" max="4363" width="8.88671875" style="2"/>
    <col min="4364" max="4364" width="6.109375" style="2" customWidth="1"/>
    <col min="4365" max="4365" width="11" style="2" customWidth="1"/>
    <col min="4366" max="4366" width="10.44140625" style="2" customWidth="1"/>
    <col min="4367" max="4367" width="18.109375" style="2" customWidth="1"/>
    <col min="4368" max="4368" width="11.21875" style="2" customWidth="1"/>
    <col min="4369" max="4369" width="10.109375" style="2" customWidth="1"/>
    <col min="4370" max="4370" width="10.77734375" style="2" customWidth="1"/>
    <col min="4371" max="4371" width="8.44140625" style="2" customWidth="1"/>
    <col min="4372" max="4372" width="12.109375" style="2" customWidth="1"/>
    <col min="4373" max="4373" width="10.109375" style="2" bestFit="1" customWidth="1"/>
    <col min="4374" max="4374" width="6" style="2" customWidth="1"/>
    <col min="4375" max="4377" width="9" style="2" bestFit="1" customWidth="1"/>
    <col min="4378" max="4378" width="10.44140625" style="2" customWidth="1"/>
    <col min="4379" max="4380" width="10.33203125" style="2" customWidth="1"/>
    <col min="4381" max="4381" width="13" style="2" customWidth="1"/>
    <col min="4382" max="4382" width="11.109375" style="2" customWidth="1"/>
    <col min="4383" max="4383" width="12.33203125" style="2" customWidth="1"/>
    <col min="4384" max="4384" width="12.6640625" style="2" customWidth="1"/>
    <col min="4385" max="4385" width="12" style="2" customWidth="1"/>
    <col min="4386" max="4616" width="8.88671875" style="2"/>
    <col min="4617" max="4617" width="5.33203125" style="2" customWidth="1"/>
    <col min="4618" max="4619" width="8.88671875" style="2"/>
    <col min="4620" max="4620" width="6.109375" style="2" customWidth="1"/>
    <col min="4621" max="4621" width="11" style="2" customWidth="1"/>
    <col min="4622" max="4622" width="10.44140625" style="2" customWidth="1"/>
    <col min="4623" max="4623" width="18.109375" style="2" customWidth="1"/>
    <col min="4624" max="4624" width="11.21875" style="2" customWidth="1"/>
    <col min="4625" max="4625" width="10.109375" style="2" customWidth="1"/>
    <col min="4626" max="4626" width="10.77734375" style="2" customWidth="1"/>
    <col min="4627" max="4627" width="8.44140625" style="2" customWidth="1"/>
    <col min="4628" max="4628" width="12.109375" style="2" customWidth="1"/>
    <col min="4629" max="4629" width="10.109375" style="2" bestFit="1" customWidth="1"/>
    <col min="4630" max="4630" width="6" style="2" customWidth="1"/>
    <col min="4631" max="4633" width="9" style="2" bestFit="1" customWidth="1"/>
    <col min="4634" max="4634" width="10.44140625" style="2" customWidth="1"/>
    <col min="4635" max="4636" width="10.33203125" style="2" customWidth="1"/>
    <col min="4637" max="4637" width="13" style="2" customWidth="1"/>
    <col min="4638" max="4638" width="11.109375" style="2" customWidth="1"/>
    <col min="4639" max="4639" width="12.33203125" style="2" customWidth="1"/>
    <col min="4640" max="4640" width="12.6640625" style="2" customWidth="1"/>
    <col min="4641" max="4641" width="12" style="2" customWidth="1"/>
    <col min="4642" max="4872" width="8.88671875" style="2"/>
    <col min="4873" max="4873" width="5.33203125" style="2" customWidth="1"/>
    <col min="4874" max="4875" width="8.88671875" style="2"/>
    <col min="4876" max="4876" width="6.109375" style="2" customWidth="1"/>
    <col min="4877" max="4877" width="11" style="2" customWidth="1"/>
    <col min="4878" max="4878" width="10.44140625" style="2" customWidth="1"/>
    <col min="4879" max="4879" width="18.109375" style="2" customWidth="1"/>
    <col min="4880" max="4880" width="11.21875" style="2" customWidth="1"/>
    <col min="4881" max="4881" width="10.109375" style="2" customWidth="1"/>
    <col min="4882" max="4882" width="10.77734375" style="2" customWidth="1"/>
    <col min="4883" max="4883" width="8.44140625" style="2" customWidth="1"/>
    <col min="4884" max="4884" width="12.109375" style="2" customWidth="1"/>
    <col min="4885" max="4885" width="10.109375" style="2" bestFit="1" customWidth="1"/>
    <col min="4886" max="4886" width="6" style="2" customWidth="1"/>
    <col min="4887" max="4889" width="9" style="2" bestFit="1" customWidth="1"/>
    <col min="4890" max="4890" width="10.44140625" style="2" customWidth="1"/>
    <col min="4891" max="4892" width="10.33203125" style="2" customWidth="1"/>
    <col min="4893" max="4893" width="13" style="2" customWidth="1"/>
    <col min="4894" max="4894" width="11.109375" style="2" customWidth="1"/>
    <col min="4895" max="4895" width="12.33203125" style="2" customWidth="1"/>
    <col min="4896" max="4896" width="12.6640625" style="2" customWidth="1"/>
    <col min="4897" max="4897" width="12" style="2" customWidth="1"/>
    <col min="4898" max="5128" width="8.88671875" style="2"/>
    <col min="5129" max="5129" width="5.33203125" style="2" customWidth="1"/>
    <col min="5130" max="5131" width="8.88671875" style="2"/>
    <col min="5132" max="5132" width="6.109375" style="2" customWidth="1"/>
    <col min="5133" max="5133" width="11" style="2" customWidth="1"/>
    <col min="5134" max="5134" width="10.44140625" style="2" customWidth="1"/>
    <col min="5135" max="5135" width="18.109375" style="2" customWidth="1"/>
    <col min="5136" max="5136" width="11.21875" style="2" customWidth="1"/>
    <col min="5137" max="5137" width="10.109375" style="2" customWidth="1"/>
    <col min="5138" max="5138" width="10.77734375" style="2" customWidth="1"/>
    <col min="5139" max="5139" width="8.44140625" style="2" customWidth="1"/>
    <col min="5140" max="5140" width="12.109375" style="2" customWidth="1"/>
    <col min="5141" max="5141" width="10.109375" style="2" bestFit="1" customWidth="1"/>
    <col min="5142" max="5142" width="6" style="2" customWidth="1"/>
    <col min="5143" max="5145" width="9" style="2" bestFit="1" customWidth="1"/>
    <col min="5146" max="5146" width="10.44140625" style="2" customWidth="1"/>
    <col min="5147" max="5148" width="10.33203125" style="2" customWidth="1"/>
    <col min="5149" max="5149" width="13" style="2" customWidth="1"/>
    <col min="5150" max="5150" width="11.109375" style="2" customWidth="1"/>
    <col min="5151" max="5151" width="12.33203125" style="2" customWidth="1"/>
    <col min="5152" max="5152" width="12.6640625" style="2" customWidth="1"/>
    <col min="5153" max="5153" width="12" style="2" customWidth="1"/>
    <col min="5154" max="5384" width="8.88671875" style="2"/>
    <col min="5385" max="5385" width="5.33203125" style="2" customWidth="1"/>
    <col min="5386" max="5387" width="8.88671875" style="2"/>
    <col min="5388" max="5388" width="6.109375" style="2" customWidth="1"/>
    <col min="5389" max="5389" width="11" style="2" customWidth="1"/>
    <col min="5390" max="5390" width="10.44140625" style="2" customWidth="1"/>
    <col min="5391" max="5391" width="18.109375" style="2" customWidth="1"/>
    <col min="5392" max="5392" width="11.21875" style="2" customWidth="1"/>
    <col min="5393" max="5393" width="10.109375" style="2" customWidth="1"/>
    <col min="5394" max="5394" width="10.77734375" style="2" customWidth="1"/>
    <col min="5395" max="5395" width="8.44140625" style="2" customWidth="1"/>
    <col min="5396" max="5396" width="12.109375" style="2" customWidth="1"/>
    <col min="5397" max="5397" width="10.109375" style="2" bestFit="1" customWidth="1"/>
    <col min="5398" max="5398" width="6" style="2" customWidth="1"/>
    <col min="5399" max="5401" width="9" style="2" bestFit="1" customWidth="1"/>
    <col min="5402" max="5402" width="10.44140625" style="2" customWidth="1"/>
    <col min="5403" max="5404" width="10.33203125" style="2" customWidth="1"/>
    <col min="5405" max="5405" width="13" style="2" customWidth="1"/>
    <col min="5406" max="5406" width="11.109375" style="2" customWidth="1"/>
    <col min="5407" max="5407" width="12.33203125" style="2" customWidth="1"/>
    <col min="5408" max="5408" width="12.6640625" style="2" customWidth="1"/>
    <col min="5409" max="5409" width="12" style="2" customWidth="1"/>
    <col min="5410" max="5640" width="8.88671875" style="2"/>
    <col min="5641" max="5641" width="5.33203125" style="2" customWidth="1"/>
    <col min="5642" max="5643" width="8.88671875" style="2"/>
    <col min="5644" max="5644" width="6.109375" style="2" customWidth="1"/>
    <col min="5645" max="5645" width="11" style="2" customWidth="1"/>
    <col min="5646" max="5646" width="10.44140625" style="2" customWidth="1"/>
    <col min="5647" max="5647" width="18.109375" style="2" customWidth="1"/>
    <col min="5648" max="5648" width="11.21875" style="2" customWidth="1"/>
    <col min="5649" max="5649" width="10.109375" style="2" customWidth="1"/>
    <col min="5650" max="5650" width="10.77734375" style="2" customWidth="1"/>
    <col min="5651" max="5651" width="8.44140625" style="2" customWidth="1"/>
    <col min="5652" max="5652" width="12.109375" style="2" customWidth="1"/>
    <col min="5653" max="5653" width="10.109375" style="2" bestFit="1" customWidth="1"/>
    <col min="5654" max="5654" width="6" style="2" customWidth="1"/>
    <col min="5655" max="5657" width="9" style="2" bestFit="1" customWidth="1"/>
    <col min="5658" max="5658" width="10.44140625" style="2" customWidth="1"/>
    <col min="5659" max="5660" width="10.33203125" style="2" customWidth="1"/>
    <col min="5661" max="5661" width="13" style="2" customWidth="1"/>
    <col min="5662" max="5662" width="11.109375" style="2" customWidth="1"/>
    <col min="5663" max="5663" width="12.33203125" style="2" customWidth="1"/>
    <col min="5664" max="5664" width="12.6640625" style="2" customWidth="1"/>
    <col min="5665" max="5665" width="12" style="2" customWidth="1"/>
    <col min="5666" max="5896" width="8.88671875" style="2"/>
    <col min="5897" max="5897" width="5.33203125" style="2" customWidth="1"/>
    <col min="5898" max="5899" width="8.88671875" style="2"/>
    <col min="5900" max="5900" width="6.109375" style="2" customWidth="1"/>
    <col min="5901" max="5901" width="11" style="2" customWidth="1"/>
    <col min="5902" max="5902" width="10.44140625" style="2" customWidth="1"/>
    <col min="5903" max="5903" width="18.109375" style="2" customWidth="1"/>
    <col min="5904" max="5904" width="11.21875" style="2" customWidth="1"/>
    <col min="5905" max="5905" width="10.109375" style="2" customWidth="1"/>
    <col min="5906" max="5906" width="10.77734375" style="2" customWidth="1"/>
    <col min="5907" max="5907" width="8.44140625" style="2" customWidth="1"/>
    <col min="5908" max="5908" width="12.109375" style="2" customWidth="1"/>
    <col min="5909" max="5909" width="10.109375" style="2" bestFit="1" customWidth="1"/>
    <col min="5910" max="5910" width="6" style="2" customWidth="1"/>
    <col min="5911" max="5913" width="9" style="2" bestFit="1" customWidth="1"/>
    <col min="5914" max="5914" width="10.44140625" style="2" customWidth="1"/>
    <col min="5915" max="5916" width="10.33203125" style="2" customWidth="1"/>
    <col min="5917" max="5917" width="13" style="2" customWidth="1"/>
    <col min="5918" max="5918" width="11.109375" style="2" customWidth="1"/>
    <col min="5919" max="5919" width="12.33203125" style="2" customWidth="1"/>
    <col min="5920" max="5920" width="12.6640625" style="2" customWidth="1"/>
    <col min="5921" max="5921" width="12" style="2" customWidth="1"/>
    <col min="5922" max="6152" width="8.88671875" style="2"/>
    <col min="6153" max="6153" width="5.33203125" style="2" customWidth="1"/>
    <col min="6154" max="6155" width="8.88671875" style="2"/>
    <col min="6156" max="6156" width="6.109375" style="2" customWidth="1"/>
    <col min="6157" max="6157" width="11" style="2" customWidth="1"/>
    <col min="6158" max="6158" width="10.44140625" style="2" customWidth="1"/>
    <col min="6159" max="6159" width="18.109375" style="2" customWidth="1"/>
    <col min="6160" max="6160" width="11.21875" style="2" customWidth="1"/>
    <col min="6161" max="6161" width="10.109375" style="2" customWidth="1"/>
    <col min="6162" max="6162" width="10.77734375" style="2" customWidth="1"/>
    <col min="6163" max="6163" width="8.44140625" style="2" customWidth="1"/>
    <col min="6164" max="6164" width="12.109375" style="2" customWidth="1"/>
    <col min="6165" max="6165" width="10.109375" style="2" bestFit="1" customWidth="1"/>
    <col min="6166" max="6166" width="6" style="2" customWidth="1"/>
    <col min="6167" max="6169" width="9" style="2" bestFit="1" customWidth="1"/>
    <col min="6170" max="6170" width="10.44140625" style="2" customWidth="1"/>
    <col min="6171" max="6172" width="10.33203125" style="2" customWidth="1"/>
    <col min="6173" max="6173" width="13" style="2" customWidth="1"/>
    <col min="6174" max="6174" width="11.109375" style="2" customWidth="1"/>
    <col min="6175" max="6175" width="12.33203125" style="2" customWidth="1"/>
    <col min="6176" max="6176" width="12.6640625" style="2" customWidth="1"/>
    <col min="6177" max="6177" width="12" style="2" customWidth="1"/>
    <col min="6178" max="6408" width="8.88671875" style="2"/>
    <col min="6409" max="6409" width="5.33203125" style="2" customWidth="1"/>
    <col min="6410" max="6411" width="8.88671875" style="2"/>
    <col min="6412" max="6412" width="6.109375" style="2" customWidth="1"/>
    <col min="6413" max="6413" width="11" style="2" customWidth="1"/>
    <col min="6414" max="6414" width="10.44140625" style="2" customWidth="1"/>
    <col min="6415" max="6415" width="18.109375" style="2" customWidth="1"/>
    <col min="6416" max="6416" width="11.21875" style="2" customWidth="1"/>
    <col min="6417" max="6417" width="10.109375" style="2" customWidth="1"/>
    <col min="6418" max="6418" width="10.77734375" style="2" customWidth="1"/>
    <col min="6419" max="6419" width="8.44140625" style="2" customWidth="1"/>
    <col min="6420" max="6420" width="12.109375" style="2" customWidth="1"/>
    <col min="6421" max="6421" width="10.109375" style="2" bestFit="1" customWidth="1"/>
    <col min="6422" max="6422" width="6" style="2" customWidth="1"/>
    <col min="6423" max="6425" width="9" style="2" bestFit="1" customWidth="1"/>
    <col min="6426" max="6426" width="10.44140625" style="2" customWidth="1"/>
    <col min="6427" max="6428" width="10.33203125" style="2" customWidth="1"/>
    <col min="6429" max="6429" width="13" style="2" customWidth="1"/>
    <col min="6430" max="6430" width="11.109375" style="2" customWidth="1"/>
    <col min="6431" max="6431" width="12.33203125" style="2" customWidth="1"/>
    <col min="6432" max="6432" width="12.6640625" style="2" customWidth="1"/>
    <col min="6433" max="6433" width="12" style="2" customWidth="1"/>
    <col min="6434" max="6664" width="8.88671875" style="2"/>
    <col min="6665" max="6665" width="5.33203125" style="2" customWidth="1"/>
    <col min="6666" max="6667" width="8.88671875" style="2"/>
    <col min="6668" max="6668" width="6.109375" style="2" customWidth="1"/>
    <col min="6669" max="6669" width="11" style="2" customWidth="1"/>
    <col min="6670" max="6670" width="10.44140625" style="2" customWidth="1"/>
    <col min="6671" max="6671" width="18.109375" style="2" customWidth="1"/>
    <col min="6672" max="6672" width="11.21875" style="2" customWidth="1"/>
    <col min="6673" max="6673" width="10.109375" style="2" customWidth="1"/>
    <col min="6674" max="6674" width="10.77734375" style="2" customWidth="1"/>
    <col min="6675" max="6675" width="8.44140625" style="2" customWidth="1"/>
    <col min="6676" max="6676" width="12.109375" style="2" customWidth="1"/>
    <col min="6677" max="6677" width="10.109375" style="2" bestFit="1" customWidth="1"/>
    <col min="6678" max="6678" width="6" style="2" customWidth="1"/>
    <col min="6679" max="6681" width="9" style="2" bestFit="1" customWidth="1"/>
    <col min="6682" max="6682" width="10.44140625" style="2" customWidth="1"/>
    <col min="6683" max="6684" width="10.33203125" style="2" customWidth="1"/>
    <col min="6685" max="6685" width="13" style="2" customWidth="1"/>
    <col min="6686" max="6686" width="11.109375" style="2" customWidth="1"/>
    <col min="6687" max="6687" width="12.33203125" style="2" customWidth="1"/>
    <col min="6688" max="6688" width="12.6640625" style="2" customWidth="1"/>
    <col min="6689" max="6689" width="12" style="2" customWidth="1"/>
    <col min="6690" max="6920" width="8.88671875" style="2"/>
    <col min="6921" max="6921" width="5.33203125" style="2" customWidth="1"/>
    <col min="6922" max="6923" width="8.88671875" style="2"/>
    <col min="6924" max="6924" width="6.109375" style="2" customWidth="1"/>
    <col min="6925" max="6925" width="11" style="2" customWidth="1"/>
    <col min="6926" max="6926" width="10.44140625" style="2" customWidth="1"/>
    <col min="6927" max="6927" width="18.109375" style="2" customWidth="1"/>
    <col min="6928" max="6928" width="11.21875" style="2" customWidth="1"/>
    <col min="6929" max="6929" width="10.109375" style="2" customWidth="1"/>
    <col min="6930" max="6930" width="10.77734375" style="2" customWidth="1"/>
    <col min="6931" max="6931" width="8.44140625" style="2" customWidth="1"/>
    <col min="6932" max="6932" width="12.109375" style="2" customWidth="1"/>
    <col min="6933" max="6933" width="10.109375" style="2" bestFit="1" customWidth="1"/>
    <col min="6934" max="6934" width="6" style="2" customWidth="1"/>
    <col min="6935" max="6937" width="9" style="2" bestFit="1" customWidth="1"/>
    <col min="6938" max="6938" width="10.44140625" style="2" customWidth="1"/>
    <col min="6939" max="6940" width="10.33203125" style="2" customWidth="1"/>
    <col min="6941" max="6941" width="13" style="2" customWidth="1"/>
    <col min="6942" max="6942" width="11.109375" style="2" customWidth="1"/>
    <col min="6943" max="6943" width="12.33203125" style="2" customWidth="1"/>
    <col min="6944" max="6944" width="12.6640625" style="2" customWidth="1"/>
    <col min="6945" max="6945" width="12" style="2" customWidth="1"/>
    <col min="6946" max="7176" width="8.88671875" style="2"/>
    <col min="7177" max="7177" width="5.33203125" style="2" customWidth="1"/>
    <col min="7178" max="7179" width="8.88671875" style="2"/>
    <col min="7180" max="7180" width="6.109375" style="2" customWidth="1"/>
    <col min="7181" max="7181" width="11" style="2" customWidth="1"/>
    <col min="7182" max="7182" width="10.44140625" style="2" customWidth="1"/>
    <col min="7183" max="7183" width="18.109375" style="2" customWidth="1"/>
    <col min="7184" max="7184" width="11.21875" style="2" customWidth="1"/>
    <col min="7185" max="7185" width="10.109375" style="2" customWidth="1"/>
    <col min="7186" max="7186" width="10.77734375" style="2" customWidth="1"/>
    <col min="7187" max="7187" width="8.44140625" style="2" customWidth="1"/>
    <col min="7188" max="7188" width="12.109375" style="2" customWidth="1"/>
    <col min="7189" max="7189" width="10.109375" style="2" bestFit="1" customWidth="1"/>
    <col min="7190" max="7190" width="6" style="2" customWidth="1"/>
    <col min="7191" max="7193" width="9" style="2" bestFit="1" customWidth="1"/>
    <col min="7194" max="7194" width="10.44140625" style="2" customWidth="1"/>
    <col min="7195" max="7196" width="10.33203125" style="2" customWidth="1"/>
    <col min="7197" max="7197" width="13" style="2" customWidth="1"/>
    <col min="7198" max="7198" width="11.109375" style="2" customWidth="1"/>
    <col min="7199" max="7199" width="12.33203125" style="2" customWidth="1"/>
    <col min="7200" max="7200" width="12.6640625" style="2" customWidth="1"/>
    <col min="7201" max="7201" width="12" style="2" customWidth="1"/>
    <col min="7202" max="7432" width="8.88671875" style="2"/>
    <col min="7433" max="7433" width="5.33203125" style="2" customWidth="1"/>
    <col min="7434" max="7435" width="8.88671875" style="2"/>
    <col min="7436" max="7436" width="6.109375" style="2" customWidth="1"/>
    <col min="7437" max="7437" width="11" style="2" customWidth="1"/>
    <col min="7438" max="7438" width="10.44140625" style="2" customWidth="1"/>
    <col min="7439" max="7439" width="18.109375" style="2" customWidth="1"/>
    <col min="7440" max="7440" width="11.21875" style="2" customWidth="1"/>
    <col min="7441" max="7441" width="10.109375" style="2" customWidth="1"/>
    <col min="7442" max="7442" width="10.77734375" style="2" customWidth="1"/>
    <col min="7443" max="7443" width="8.44140625" style="2" customWidth="1"/>
    <col min="7444" max="7444" width="12.109375" style="2" customWidth="1"/>
    <col min="7445" max="7445" width="10.109375" style="2" bestFit="1" customWidth="1"/>
    <col min="7446" max="7446" width="6" style="2" customWidth="1"/>
    <col min="7447" max="7449" width="9" style="2" bestFit="1" customWidth="1"/>
    <col min="7450" max="7450" width="10.44140625" style="2" customWidth="1"/>
    <col min="7451" max="7452" width="10.33203125" style="2" customWidth="1"/>
    <col min="7453" max="7453" width="13" style="2" customWidth="1"/>
    <col min="7454" max="7454" width="11.109375" style="2" customWidth="1"/>
    <col min="7455" max="7455" width="12.33203125" style="2" customWidth="1"/>
    <col min="7456" max="7456" width="12.6640625" style="2" customWidth="1"/>
    <col min="7457" max="7457" width="12" style="2" customWidth="1"/>
    <col min="7458" max="7688" width="8.88671875" style="2"/>
    <col min="7689" max="7689" width="5.33203125" style="2" customWidth="1"/>
    <col min="7690" max="7691" width="8.88671875" style="2"/>
    <col min="7692" max="7692" width="6.109375" style="2" customWidth="1"/>
    <col min="7693" max="7693" width="11" style="2" customWidth="1"/>
    <col min="7694" max="7694" width="10.44140625" style="2" customWidth="1"/>
    <col min="7695" max="7695" width="18.109375" style="2" customWidth="1"/>
    <col min="7696" max="7696" width="11.21875" style="2" customWidth="1"/>
    <col min="7697" max="7697" width="10.109375" style="2" customWidth="1"/>
    <col min="7698" max="7698" width="10.77734375" style="2" customWidth="1"/>
    <col min="7699" max="7699" width="8.44140625" style="2" customWidth="1"/>
    <col min="7700" max="7700" width="12.109375" style="2" customWidth="1"/>
    <col min="7701" max="7701" width="10.109375" style="2" bestFit="1" customWidth="1"/>
    <col min="7702" max="7702" width="6" style="2" customWidth="1"/>
    <col min="7703" max="7705" width="9" style="2" bestFit="1" customWidth="1"/>
    <col min="7706" max="7706" width="10.44140625" style="2" customWidth="1"/>
    <col min="7707" max="7708" width="10.33203125" style="2" customWidth="1"/>
    <col min="7709" max="7709" width="13" style="2" customWidth="1"/>
    <col min="7710" max="7710" width="11.109375" style="2" customWidth="1"/>
    <col min="7711" max="7711" width="12.33203125" style="2" customWidth="1"/>
    <col min="7712" max="7712" width="12.6640625" style="2" customWidth="1"/>
    <col min="7713" max="7713" width="12" style="2" customWidth="1"/>
    <col min="7714" max="7944" width="8.88671875" style="2"/>
    <col min="7945" max="7945" width="5.33203125" style="2" customWidth="1"/>
    <col min="7946" max="7947" width="8.88671875" style="2"/>
    <col min="7948" max="7948" width="6.109375" style="2" customWidth="1"/>
    <col min="7949" max="7949" width="11" style="2" customWidth="1"/>
    <col min="7950" max="7950" width="10.44140625" style="2" customWidth="1"/>
    <col min="7951" max="7951" width="18.109375" style="2" customWidth="1"/>
    <col min="7952" max="7952" width="11.21875" style="2" customWidth="1"/>
    <col min="7953" max="7953" width="10.109375" style="2" customWidth="1"/>
    <col min="7954" max="7954" width="10.77734375" style="2" customWidth="1"/>
    <col min="7955" max="7955" width="8.44140625" style="2" customWidth="1"/>
    <col min="7956" max="7956" width="12.109375" style="2" customWidth="1"/>
    <col min="7957" max="7957" width="10.109375" style="2" bestFit="1" customWidth="1"/>
    <col min="7958" max="7958" width="6" style="2" customWidth="1"/>
    <col min="7959" max="7961" width="9" style="2" bestFit="1" customWidth="1"/>
    <col min="7962" max="7962" width="10.44140625" style="2" customWidth="1"/>
    <col min="7963" max="7964" width="10.33203125" style="2" customWidth="1"/>
    <col min="7965" max="7965" width="13" style="2" customWidth="1"/>
    <col min="7966" max="7966" width="11.109375" style="2" customWidth="1"/>
    <col min="7967" max="7967" width="12.33203125" style="2" customWidth="1"/>
    <col min="7968" max="7968" width="12.6640625" style="2" customWidth="1"/>
    <col min="7969" max="7969" width="12" style="2" customWidth="1"/>
    <col min="7970" max="8200" width="8.88671875" style="2"/>
    <col min="8201" max="8201" width="5.33203125" style="2" customWidth="1"/>
    <col min="8202" max="8203" width="8.88671875" style="2"/>
    <col min="8204" max="8204" width="6.109375" style="2" customWidth="1"/>
    <col min="8205" max="8205" width="11" style="2" customWidth="1"/>
    <col min="8206" max="8206" width="10.44140625" style="2" customWidth="1"/>
    <col min="8207" max="8207" width="18.109375" style="2" customWidth="1"/>
    <col min="8208" max="8208" width="11.21875" style="2" customWidth="1"/>
    <col min="8209" max="8209" width="10.109375" style="2" customWidth="1"/>
    <col min="8210" max="8210" width="10.77734375" style="2" customWidth="1"/>
    <col min="8211" max="8211" width="8.44140625" style="2" customWidth="1"/>
    <col min="8212" max="8212" width="12.109375" style="2" customWidth="1"/>
    <col min="8213" max="8213" width="10.109375" style="2" bestFit="1" customWidth="1"/>
    <col min="8214" max="8214" width="6" style="2" customWidth="1"/>
    <col min="8215" max="8217" width="9" style="2" bestFit="1" customWidth="1"/>
    <col min="8218" max="8218" width="10.44140625" style="2" customWidth="1"/>
    <col min="8219" max="8220" width="10.33203125" style="2" customWidth="1"/>
    <col min="8221" max="8221" width="13" style="2" customWidth="1"/>
    <col min="8222" max="8222" width="11.109375" style="2" customWidth="1"/>
    <col min="8223" max="8223" width="12.33203125" style="2" customWidth="1"/>
    <col min="8224" max="8224" width="12.6640625" style="2" customWidth="1"/>
    <col min="8225" max="8225" width="12" style="2" customWidth="1"/>
    <col min="8226" max="8456" width="8.88671875" style="2"/>
    <col min="8457" max="8457" width="5.33203125" style="2" customWidth="1"/>
    <col min="8458" max="8459" width="8.88671875" style="2"/>
    <col min="8460" max="8460" width="6.109375" style="2" customWidth="1"/>
    <col min="8461" max="8461" width="11" style="2" customWidth="1"/>
    <col min="8462" max="8462" width="10.44140625" style="2" customWidth="1"/>
    <col min="8463" max="8463" width="18.109375" style="2" customWidth="1"/>
    <col min="8464" max="8464" width="11.21875" style="2" customWidth="1"/>
    <col min="8465" max="8465" width="10.109375" style="2" customWidth="1"/>
    <col min="8466" max="8466" width="10.77734375" style="2" customWidth="1"/>
    <col min="8467" max="8467" width="8.44140625" style="2" customWidth="1"/>
    <col min="8468" max="8468" width="12.109375" style="2" customWidth="1"/>
    <col min="8469" max="8469" width="10.109375" style="2" bestFit="1" customWidth="1"/>
    <col min="8470" max="8470" width="6" style="2" customWidth="1"/>
    <col min="8471" max="8473" width="9" style="2" bestFit="1" customWidth="1"/>
    <col min="8474" max="8474" width="10.44140625" style="2" customWidth="1"/>
    <col min="8475" max="8476" width="10.33203125" style="2" customWidth="1"/>
    <col min="8477" max="8477" width="13" style="2" customWidth="1"/>
    <col min="8478" max="8478" width="11.109375" style="2" customWidth="1"/>
    <col min="8479" max="8479" width="12.33203125" style="2" customWidth="1"/>
    <col min="8480" max="8480" width="12.6640625" style="2" customWidth="1"/>
    <col min="8481" max="8481" width="12" style="2" customWidth="1"/>
    <col min="8482" max="8712" width="8.88671875" style="2"/>
    <col min="8713" max="8713" width="5.33203125" style="2" customWidth="1"/>
    <col min="8714" max="8715" width="8.88671875" style="2"/>
    <col min="8716" max="8716" width="6.109375" style="2" customWidth="1"/>
    <col min="8717" max="8717" width="11" style="2" customWidth="1"/>
    <col min="8718" max="8718" width="10.44140625" style="2" customWidth="1"/>
    <col min="8719" max="8719" width="18.109375" style="2" customWidth="1"/>
    <col min="8720" max="8720" width="11.21875" style="2" customWidth="1"/>
    <col min="8721" max="8721" width="10.109375" style="2" customWidth="1"/>
    <col min="8722" max="8722" width="10.77734375" style="2" customWidth="1"/>
    <col min="8723" max="8723" width="8.44140625" style="2" customWidth="1"/>
    <col min="8724" max="8724" width="12.109375" style="2" customWidth="1"/>
    <col min="8725" max="8725" width="10.109375" style="2" bestFit="1" customWidth="1"/>
    <col min="8726" max="8726" width="6" style="2" customWidth="1"/>
    <col min="8727" max="8729" width="9" style="2" bestFit="1" customWidth="1"/>
    <col min="8730" max="8730" width="10.44140625" style="2" customWidth="1"/>
    <col min="8731" max="8732" width="10.33203125" style="2" customWidth="1"/>
    <col min="8733" max="8733" width="13" style="2" customWidth="1"/>
    <col min="8734" max="8734" width="11.109375" style="2" customWidth="1"/>
    <col min="8735" max="8735" width="12.33203125" style="2" customWidth="1"/>
    <col min="8736" max="8736" width="12.6640625" style="2" customWidth="1"/>
    <col min="8737" max="8737" width="12" style="2" customWidth="1"/>
    <col min="8738" max="8968" width="8.88671875" style="2"/>
    <col min="8969" max="8969" width="5.33203125" style="2" customWidth="1"/>
    <col min="8970" max="8971" width="8.88671875" style="2"/>
    <col min="8972" max="8972" width="6.109375" style="2" customWidth="1"/>
    <col min="8973" max="8973" width="11" style="2" customWidth="1"/>
    <col min="8974" max="8974" width="10.44140625" style="2" customWidth="1"/>
    <col min="8975" max="8975" width="18.109375" style="2" customWidth="1"/>
    <col min="8976" max="8976" width="11.21875" style="2" customWidth="1"/>
    <col min="8977" max="8977" width="10.109375" style="2" customWidth="1"/>
    <col min="8978" max="8978" width="10.77734375" style="2" customWidth="1"/>
    <col min="8979" max="8979" width="8.44140625" style="2" customWidth="1"/>
    <col min="8980" max="8980" width="12.109375" style="2" customWidth="1"/>
    <col min="8981" max="8981" width="10.109375" style="2" bestFit="1" customWidth="1"/>
    <col min="8982" max="8982" width="6" style="2" customWidth="1"/>
    <col min="8983" max="8985" width="9" style="2" bestFit="1" customWidth="1"/>
    <col min="8986" max="8986" width="10.44140625" style="2" customWidth="1"/>
    <col min="8987" max="8988" width="10.33203125" style="2" customWidth="1"/>
    <col min="8989" max="8989" width="13" style="2" customWidth="1"/>
    <col min="8990" max="8990" width="11.109375" style="2" customWidth="1"/>
    <col min="8991" max="8991" width="12.33203125" style="2" customWidth="1"/>
    <col min="8992" max="8992" width="12.6640625" style="2" customWidth="1"/>
    <col min="8993" max="8993" width="12" style="2" customWidth="1"/>
    <col min="8994" max="9224" width="8.88671875" style="2"/>
    <col min="9225" max="9225" width="5.33203125" style="2" customWidth="1"/>
    <col min="9226" max="9227" width="8.88671875" style="2"/>
    <col min="9228" max="9228" width="6.109375" style="2" customWidth="1"/>
    <col min="9229" max="9229" width="11" style="2" customWidth="1"/>
    <col min="9230" max="9230" width="10.44140625" style="2" customWidth="1"/>
    <col min="9231" max="9231" width="18.109375" style="2" customWidth="1"/>
    <col min="9232" max="9232" width="11.21875" style="2" customWidth="1"/>
    <col min="9233" max="9233" width="10.109375" style="2" customWidth="1"/>
    <col min="9234" max="9234" width="10.77734375" style="2" customWidth="1"/>
    <col min="9235" max="9235" width="8.44140625" style="2" customWidth="1"/>
    <col min="9236" max="9236" width="12.109375" style="2" customWidth="1"/>
    <col min="9237" max="9237" width="10.109375" style="2" bestFit="1" customWidth="1"/>
    <col min="9238" max="9238" width="6" style="2" customWidth="1"/>
    <col min="9239" max="9241" width="9" style="2" bestFit="1" customWidth="1"/>
    <col min="9242" max="9242" width="10.44140625" style="2" customWidth="1"/>
    <col min="9243" max="9244" width="10.33203125" style="2" customWidth="1"/>
    <col min="9245" max="9245" width="13" style="2" customWidth="1"/>
    <col min="9246" max="9246" width="11.109375" style="2" customWidth="1"/>
    <col min="9247" max="9247" width="12.33203125" style="2" customWidth="1"/>
    <col min="9248" max="9248" width="12.6640625" style="2" customWidth="1"/>
    <col min="9249" max="9249" width="12" style="2" customWidth="1"/>
    <col min="9250" max="9480" width="8.88671875" style="2"/>
    <col min="9481" max="9481" width="5.33203125" style="2" customWidth="1"/>
    <col min="9482" max="9483" width="8.88671875" style="2"/>
    <col min="9484" max="9484" width="6.109375" style="2" customWidth="1"/>
    <col min="9485" max="9485" width="11" style="2" customWidth="1"/>
    <col min="9486" max="9486" width="10.44140625" style="2" customWidth="1"/>
    <col min="9487" max="9487" width="18.109375" style="2" customWidth="1"/>
    <col min="9488" max="9488" width="11.21875" style="2" customWidth="1"/>
    <col min="9489" max="9489" width="10.109375" style="2" customWidth="1"/>
    <col min="9490" max="9490" width="10.77734375" style="2" customWidth="1"/>
    <col min="9491" max="9491" width="8.44140625" style="2" customWidth="1"/>
    <col min="9492" max="9492" width="12.109375" style="2" customWidth="1"/>
    <col min="9493" max="9493" width="10.109375" style="2" bestFit="1" customWidth="1"/>
    <col min="9494" max="9494" width="6" style="2" customWidth="1"/>
    <col min="9495" max="9497" width="9" style="2" bestFit="1" customWidth="1"/>
    <col min="9498" max="9498" width="10.44140625" style="2" customWidth="1"/>
    <col min="9499" max="9500" width="10.33203125" style="2" customWidth="1"/>
    <col min="9501" max="9501" width="13" style="2" customWidth="1"/>
    <col min="9502" max="9502" width="11.109375" style="2" customWidth="1"/>
    <col min="9503" max="9503" width="12.33203125" style="2" customWidth="1"/>
    <col min="9504" max="9504" width="12.6640625" style="2" customWidth="1"/>
    <col min="9505" max="9505" width="12" style="2" customWidth="1"/>
    <col min="9506" max="9736" width="8.88671875" style="2"/>
    <col min="9737" max="9737" width="5.33203125" style="2" customWidth="1"/>
    <col min="9738" max="9739" width="8.88671875" style="2"/>
    <col min="9740" max="9740" width="6.109375" style="2" customWidth="1"/>
    <col min="9741" max="9741" width="11" style="2" customWidth="1"/>
    <col min="9742" max="9742" width="10.44140625" style="2" customWidth="1"/>
    <col min="9743" max="9743" width="18.109375" style="2" customWidth="1"/>
    <col min="9744" max="9744" width="11.21875" style="2" customWidth="1"/>
    <col min="9745" max="9745" width="10.109375" style="2" customWidth="1"/>
    <col min="9746" max="9746" width="10.77734375" style="2" customWidth="1"/>
    <col min="9747" max="9747" width="8.44140625" style="2" customWidth="1"/>
    <col min="9748" max="9748" width="12.109375" style="2" customWidth="1"/>
    <col min="9749" max="9749" width="10.109375" style="2" bestFit="1" customWidth="1"/>
    <col min="9750" max="9750" width="6" style="2" customWidth="1"/>
    <col min="9751" max="9753" width="9" style="2" bestFit="1" customWidth="1"/>
    <col min="9754" max="9754" width="10.44140625" style="2" customWidth="1"/>
    <col min="9755" max="9756" width="10.33203125" style="2" customWidth="1"/>
    <col min="9757" max="9757" width="13" style="2" customWidth="1"/>
    <col min="9758" max="9758" width="11.109375" style="2" customWidth="1"/>
    <col min="9759" max="9759" width="12.33203125" style="2" customWidth="1"/>
    <col min="9760" max="9760" width="12.6640625" style="2" customWidth="1"/>
    <col min="9761" max="9761" width="12" style="2" customWidth="1"/>
    <col min="9762" max="9992" width="8.88671875" style="2"/>
    <col min="9993" max="9993" width="5.33203125" style="2" customWidth="1"/>
    <col min="9994" max="9995" width="8.88671875" style="2"/>
    <col min="9996" max="9996" width="6.109375" style="2" customWidth="1"/>
    <col min="9997" max="9997" width="11" style="2" customWidth="1"/>
    <col min="9998" max="9998" width="10.44140625" style="2" customWidth="1"/>
    <col min="9999" max="9999" width="18.109375" style="2" customWidth="1"/>
    <col min="10000" max="10000" width="11.21875" style="2" customWidth="1"/>
    <col min="10001" max="10001" width="10.109375" style="2" customWidth="1"/>
    <col min="10002" max="10002" width="10.77734375" style="2" customWidth="1"/>
    <col min="10003" max="10003" width="8.44140625" style="2" customWidth="1"/>
    <col min="10004" max="10004" width="12.109375" style="2" customWidth="1"/>
    <col min="10005" max="10005" width="10.109375" style="2" bestFit="1" customWidth="1"/>
    <col min="10006" max="10006" width="6" style="2" customWidth="1"/>
    <col min="10007" max="10009" width="9" style="2" bestFit="1" customWidth="1"/>
    <col min="10010" max="10010" width="10.44140625" style="2" customWidth="1"/>
    <col min="10011" max="10012" width="10.33203125" style="2" customWidth="1"/>
    <col min="10013" max="10013" width="13" style="2" customWidth="1"/>
    <col min="10014" max="10014" width="11.109375" style="2" customWidth="1"/>
    <col min="10015" max="10015" width="12.33203125" style="2" customWidth="1"/>
    <col min="10016" max="10016" width="12.6640625" style="2" customWidth="1"/>
    <col min="10017" max="10017" width="12" style="2" customWidth="1"/>
    <col min="10018" max="10248" width="8.88671875" style="2"/>
    <col min="10249" max="10249" width="5.33203125" style="2" customWidth="1"/>
    <col min="10250" max="10251" width="8.88671875" style="2"/>
    <col min="10252" max="10252" width="6.109375" style="2" customWidth="1"/>
    <col min="10253" max="10253" width="11" style="2" customWidth="1"/>
    <col min="10254" max="10254" width="10.44140625" style="2" customWidth="1"/>
    <col min="10255" max="10255" width="18.109375" style="2" customWidth="1"/>
    <col min="10256" max="10256" width="11.21875" style="2" customWidth="1"/>
    <col min="10257" max="10257" width="10.109375" style="2" customWidth="1"/>
    <col min="10258" max="10258" width="10.77734375" style="2" customWidth="1"/>
    <col min="10259" max="10259" width="8.44140625" style="2" customWidth="1"/>
    <col min="10260" max="10260" width="12.109375" style="2" customWidth="1"/>
    <col min="10261" max="10261" width="10.109375" style="2" bestFit="1" customWidth="1"/>
    <col min="10262" max="10262" width="6" style="2" customWidth="1"/>
    <col min="10263" max="10265" width="9" style="2" bestFit="1" customWidth="1"/>
    <col min="10266" max="10266" width="10.44140625" style="2" customWidth="1"/>
    <col min="10267" max="10268" width="10.33203125" style="2" customWidth="1"/>
    <col min="10269" max="10269" width="13" style="2" customWidth="1"/>
    <col min="10270" max="10270" width="11.109375" style="2" customWidth="1"/>
    <col min="10271" max="10271" width="12.33203125" style="2" customWidth="1"/>
    <col min="10272" max="10272" width="12.6640625" style="2" customWidth="1"/>
    <col min="10273" max="10273" width="12" style="2" customWidth="1"/>
    <col min="10274" max="10504" width="8.88671875" style="2"/>
    <col min="10505" max="10505" width="5.33203125" style="2" customWidth="1"/>
    <col min="10506" max="10507" width="8.88671875" style="2"/>
    <col min="10508" max="10508" width="6.109375" style="2" customWidth="1"/>
    <col min="10509" max="10509" width="11" style="2" customWidth="1"/>
    <col min="10510" max="10510" width="10.44140625" style="2" customWidth="1"/>
    <col min="10511" max="10511" width="18.109375" style="2" customWidth="1"/>
    <col min="10512" max="10512" width="11.21875" style="2" customWidth="1"/>
    <col min="10513" max="10513" width="10.109375" style="2" customWidth="1"/>
    <col min="10514" max="10514" width="10.77734375" style="2" customWidth="1"/>
    <col min="10515" max="10515" width="8.44140625" style="2" customWidth="1"/>
    <col min="10516" max="10516" width="12.109375" style="2" customWidth="1"/>
    <col min="10517" max="10517" width="10.109375" style="2" bestFit="1" customWidth="1"/>
    <col min="10518" max="10518" width="6" style="2" customWidth="1"/>
    <col min="10519" max="10521" width="9" style="2" bestFit="1" customWidth="1"/>
    <col min="10522" max="10522" width="10.44140625" style="2" customWidth="1"/>
    <col min="10523" max="10524" width="10.33203125" style="2" customWidth="1"/>
    <col min="10525" max="10525" width="13" style="2" customWidth="1"/>
    <col min="10526" max="10526" width="11.109375" style="2" customWidth="1"/>
    <col min="10527" max="10527" width="12.33203125" style="2" customWidth="1"/>
    <col min="10528" max="10528" width="12.6640625" style="2" customWidth="1"/>
    <col min="10529" max="10529" width="12" style="2" customWidth="1"/>
    <col min="10530" max="10760" width="8.88671875" style="2"/>
    <col min="10761" max="10761" width="5.33203125" style="2" customWidth="1"/>
    <col min="10762" max="10763" width="8.88671875" style="2"/>
    <col min="10764" max="10764" width="6.109375" style="2" customWidth="1"/>
    <col min="10765" max="10765" width="11" style="2" customWidth="1"/>
    <col min="10766" max="10766" width="10.44140625" style="2" customWidth="1"/>
    <col min="10767" max="10767" width="18.109375" style="2" customWidth="1"/>
    <col min="10768" max="10768" width="11.21875" style="2" customWidth="1"/>
    <col min="10769" max="10769" width="10.109375" style="2" customWidth="1"/>
    <col min="10770" max="10770" width="10.77734375" style="2" customWidth="1"/>
    <col min="10771" max="10771" width="8.44140625" style="2" customWidth="1"/>
    <col min="10772" max="10772" width="12.109375" style="2" customWidth="1"/>
    <col min="10773" max="10773" width="10.109375" style="2" bestFit="1" customWidth="1"/>
    <col min="10774" max="10774" width="6" style="2" customWidth="1"/>
    <col min="10775" max="10777" width="9" style="2" bestFit="1" customWidth="1"/>
    <col min="10778" max="10778" width="10.44140625" style="2" customWidth="1"/>
    <col min="10779" max="10780" width="10.33203125" style="2" customWidth="1"/>
    <col min="10781" max="10781" width="13" style="2" customWidth="1"/>
    <col min="10782" max="10782" width="11.109375" style="2" customWidth="1"/>
    <col min="10783" max="10783" width="12.33203125" style="2" customWidth="1"/>
    <col min="10784" max="10784" width="12.6640625" style="2" customWidth="1"/>
    <col min="10785" max="10785" width="12" style="2" customWidth="1"/>
    <col min="10786" max="11016" width="8.88671875" style="2"/>
    <col min="11017" max="11017" width="5.33203125" style="2" customWidth="1"/>
    <col min="11018" max="11019" width="8.88671875" style="2"/>
    <col min="11020" max="11020" width="6.109375" style="2" customWidth="1"/>
    <col min="11021" max="11021" width="11" style="2" customWidth="1"/>
    <col min="11022" max="11022" width="10.44140625" style="2" customWidth="1"/>
    <col min="11023" max="11023" width="18.109375" style="2" customWidth="1"/>
    <col min="11024" max="11024" width="11.21875" style="2" customWidth="1"/>
    <col min="11025" max="11025" width="10.109375" style="2" customWidth="1"/>
    <col min="11026" max="11026" width="10.77734375" style="2" customWidth="1"/>
    <col min="11027" max="11027" width="8.44140625" style="2" customWidth="1"/>
    <col min="11028" max="11028" width="12.109375" style="2" customWidth="1"/>
    <col min="11029" max="11029" width="10.109375" style="2" bestFit="1" customWidth="1"/>
    <col min="11030" max="11030" width="6" style="2" customWidth="1"/>
    <col min="11031" max="11033" width="9" style="2" bestFit="1" customWidth="1"/>
    <col min="11034" max="11034" width="10.44140625" style="2" customWidth="1"/>
    <col min="11035" max="11036" width="10.33203125" style="2" customWidth="1"/>
    <col min="11037" max="11037" width="13" style="2" customWidth="1"/>
    <col min="11038" max="11038" width="11.109375" style="2" customWidth="1"/>
    <col min="11039" max="11039" width="12.33203125" style="2" customWidth="1"/>
    <col min="11040" max="11040" width="12.6640625" style="2" customWidth="1"/>
    <col min="11041" max="11041" width="12" style="2" customWidth="1"/>
    <col min="11042" max="11272" width="8.88671875" style="2"/>
    <col min="11273" max="11273" width="5.33203125" style="2" customWidth="1"/>
    <col min="11274" max="11275" width="8.88671875" style="2"/>
    <col min="11276" max="11276" width="6.109375" style="2" customWidth="1"/>
    <col min="11277" max="11277" width="11" style="2" customWidth="1"/>
    <col min="11278" max="11278" width="10.44140625" style="2" customWidth="1"/>
    <col min="11279" max="11279" width="18.109375" style="2" customWidth="1"/>
    <col min="11280" max="11280" width="11.21875" style="2" customWidth="1"/>
    <col min="11281" max="11281" width="10.109375" style="2" customWidth="1"/>
    <col min="11282" max="11282" width="10.77734375" style="2" customWidth="1"/>
    <col min="11283" max="11283" width="8.44140625" style="2" customWidth="1"/>
    <col min="11284" max="11284" width="12.109375" style="2" customWidth="1"/>
    <col min="11285" max="11285" width="10.109375" style="2" bestFit="1" customWidth="1"/>
    <col min="11286" max="11286" width="6" style="2" customWidth="1"/>
    <col min="11287" max="11289" width="9" style="2" bestFit="1" customWidth="1"/>
    <col min="11290" max="11290" width="10.44140625" style="2" customWidth="1"/>
    <col min="11291" max="11292" width="10.33203125" style="2" customWidth="1"/>
    <col min="11293" max="11293" width="13" style="2" customWidth="1"/>
    <col min="11294" max="11294" width="11.109375" style="2" customWidth="1"/>
    <col min="11295" max="11295" width="12.33203125" style="2" customWidth="1"/>
    <col min="11296" max="11296" width="12.6640625" style="2" customWidth="1"/>
    <col min="11297" max="11297" width="12" style="2" customWidth="1"/>
    <col min="11298" max="11528" width="8.88671875" style="2"/>
    <col min="11529" max="11529" width="5.33203125" style="2" customWidth="1"/>
    <col min="11530" max="11531" width="8.88671875" style="2"/>
    <col min="11532" max="11532" width="6.109375" style="2" customWidth="1"/>
    <col min="11533" max="11533" width="11" style="2" customWidth="1"/>
    <col min="11534" max="11534" width="10.44140625" style="2" customWidth="1"/>
    <col min="11535" max="11535" width="18.109375" style="2" customWidth="1"/>
    <col min="11536" max="11536" width="11.21875" style="2" customWidth="1"/>
    <col min="11537" max="11537" width="10.109375" style="2" customWidth="1"/>
    <col min="11538" max="11538" width="10.77734375" style="2" customWidth="1"/>
    <col min="11539" max="11539" width="8.44140625" style="2" customWidth="1"/>
    <col min="11540" max="11540" width="12.109375" style="2" customWidth="1"/>
    <col min="11541" max="11541" width="10.109375" style="2" bestFit="1" customWidth="1"/>
    <col min="11542" max="11542" width="6" style="2" customWidth="1"/>
    <col min="11543" max="11545" width="9" style="2" bestFit="1" customWidth="1"/>
    <col min="11546" max="11546" width="10.44140625" style="2" customWidth="1"/>
    <col min="11547" max="11548" width="10.33203125" style="2" customWidth="1"/>
    <col min="11549" max="11549" width="13" style="2" customWidth="1"/>
    <col min="11550" max="11550" width="11.109375" style="2" customWidth="1"/>
    <col min="11551" max="11551" width="12.33203125" style="2" customWidth="1"/>
    <col min="11552" max="11552" width="12.6640625" style="2" customWidth="1"/>
    <col min="11553" max="11553" width="12" style="2" customWidth="1"/>
    <col min="11554" max="11784" width="8.88671875" style="2"/>
    <col min="11785" max="11785" width="5.33203125" style="2" customWidth="1"/>
    <col min="11786" max="11787" width="8.88671875" style="2"/>
    <col min="11788" max="11788" width="6.109375" style="2" customWidth="1"/>
    <col min="11789" max="11789" width="11" style="2" customWidth="1"/>
    <col min="11790" max="11790" width="10.44140625" style="2" customWidth="1"/>
    <col min="11791" max="11791" width="18.109375" style="2" customWidth="1"/>
    <col min="11792" max="11792" width="11.21875" style="2" customWidth="1"/>
    <col min="11793" max="11793" width="10.109375" style="2" customWidth="1"/>
    <col min="11794" max="11794" width="10.77734375" style="2" customWidth="1"/>
    <col min="11795" max="11795" width="8.44140625" style="2" customWidth="1"/>
    <col min="11796" max="11796" width="12.109375" style="2" customWidth="1"/>
    <col min="11797" max="11797" width="10.109375" style="2" bestFit="1" customWidth="1"/>
    <col min="11798" max="11798" width="6" style="2" customWidth="1"/>
    <col min="11799" max="11801" width="9" style="2" bestFit="1" customWidth="1"/>
    <col min="11802" max="11802" width="10.44140625" style="2" customWidth="1"/>
    <col min="11803" max="11804" width="10.33203125" style="2" customWidth="1"/>
    <col min="11805" max="11805" width="13" style="2" customWidth="1"/>
    <col min="11806" max="11806" width="11.109375" style="2" customWidth="1"/>
    <col min="11807" max="11807" width="12.33203125" style="2" customWidth="1"/>
    <col min="11808" max="11808" width="12.6640625" style="2" customWidth="1"/>
    <col min="11809" max="11809" width="12" style="2" customWidth="1"/>
    <col min="11810" max="12040" width="8.88671875" style="2"/>
    <col min="12041" max="12041" width="5.33203125" style="2" customWidth="1"/>
    <col min="12042" max="12043" width="8.88671875" style="2"/>
    <col min="12044" max="12044" width="6.109375" style="2" customWidth="1"/>
    <col min="12045" max="12045" width="11" style="2" customWidth="1"/>
    <col min="12046" max="12046" width="10.44140625" style="2" customWidth="1"/>
    <col min="12047" max="12047" width="18.109375" style="2" customWidth="1"/>
    <col min="12048" max="12048" width="11.21875" style="2" customWidth="1"/>
    <col min="12049" max="12049" width="10.109375" style="2" customWidth="1"/>
    <col min="12050" max="12050" width="10.77734375" style="2" customWidth="1"/>
    <col min="12051" max="12051" width="8.44140625" style="2" customWidth="1"/>
    <col min="12052" max="12052" width="12.109375" style="2" customWidth="1"/>
    <col min="12053" max="12053" width="10.109375" style="2" bestFit="1" customWidth="1"/>
    <col min="12054" max="12054" width="6" style="2" customWidth="1"/>
    <col min="12055" max="12057" width="9" style="2" bestFit="1" customWidth="1"/>
    <col min="12058" max="12058" width="10.44140625" style="2" customWidth="1"/>
    <col min="12059" max="12060" width="10.33203125" style="2" customWidth="1"/>
    <col min="12061" max="12061" width="13" style="2" customWidth="1"/>
    <col min="12062" max="12062" width="11.109375" style="2" customWidth="1"/>
    <col min="12063" max="12063" width="12.33203125" style="2" customWidth="1"/>
    <col min="12064" max="12064" width="12.6640625" style="2" customWidth="1"/>
    <col min="12065" max="12065" width="12" style="2" customWidth="1"/>
    <col min="12066" max="12296" width="8.88671875" style="2"/>
    <col min="12297" max="12297" width="5.33203125" style="2" customWidth="1"/>
    <col min="12298" max="12299" width="8.88671875" style="2"/>
    <col min="12300" max="12300" width="6.109375" style="2" customWidth="1"/>
    <col min="12301" max="12301" width="11" style="2" customWidth="1"/>
    <col min="12302" max="12302" width="10.44140625" style="2" customWidth="1"/>
    <col min="12303" max="12303" width="18.109375" style="2" customWidth="1"/>
    <col min="12304" max="12304" width="11.21875" style="2" customWidth="1"/>
    <col min="12305" max="12305" width="10.109375" style="2" customWidth="1"/>
    <col min="12306" max="12306" width="10.77734375" style="2" customWidth="1"/>
    <col min="12307" max="12307" width="8.44140625" style="2" customWidth="1"/>
    <col min="12308" max="12308" width="12.109375" style="2" customWidth="1"/>
    <col min="12309" max="12309" width="10.109375" style="2" bestFit="1" customWidth="1"/>
    <col min="12310" max="12310" width="6" style="2" customWidth="1"/>
    <col min="12311" max="12313" width="9" style="2" bestFit="1" customWidth="1"/>
    <col min="12314" max="12314" width="10.44140625" style="2" customWidth="1"/>
    <col min="12315" max="12316" width="10.33203125" style="2" customWidth="1"/>
    <col min="12317" max="12317" width="13" style="2" customWidth="1"/>
    <col min="12318" max="12318" width="11.109375" style="2" customWidth="1"/>
    <col min="12319" max="12319" width="12.33203125" style="2" customWidth="1"/>
    <col min="12320" max="12320" width="12.6640625" style="2" customWidth="1"/>
    <col min="12321" max="12321" width="12" style="2" customWidth="1"/>
    <col min="12322" max="12552" width="8.88671875" style="2"/>
    <col min="12553" max="12553" width="5.33203125" style="2" customWidth="1"/>
    <col min="12554" max="12555" width="8.88671875" style="2"/>
    <col min="12556" max="12556" width="6.109375" style="2" customWidth="1"/>
    <col min="12557" max="12557" width="11" style="2" customWidth="1"/>
    <col min="12558" max="12558" width="10.44140625" style="2" customWidth="1"/>
    <col min="12559" max="12559" width="18.109375" style="2" customWidth="1"/>
    <col min="12560" max="12560" width="11.21875" style="2" customWidth="1"/>
    <col min="12561" max="12561" width="10.109375" style="2" customWidth="1"/>
    <col min="12562" max="12562" width="10.77734375" style="2" customWidth="1"/>
    <col min="12563" max="12563" width="8.44140625" style="2" customWidth="1"/>
    <col min="12564" max="12564" width="12.109375" style="2" customWidth="1"/>
    <col min="12565" max="12565" width="10.109375" style="2" bestFit="1" customWidth="1"/>
    <col min="12566" max="12566" width="6" style="2" customWidth="1"/>
    <col min="12567" max="12569" width="9" style="2" bestFit="1" customWidth="1"/>
    <col min="12570" max="12570" width="10.44140625" style="2" customWidth="1"/>
    <col min="12571" max="12572" width="10.33203125" style="2" customWidth="1"/>
    <col min="12573" max="12573" width="13" style="2" customWidth="1"/>
    <col min="12574" max="12574" width="11.109375" style="2" customWidth="1"/>
    <col min="12575" max="12575" width="12.33203125" style="2" customWidth="1"/>
    <col min="12576" max="12576" width="12.6640625" style="2" customWidth="1"/>
    <col min="12577" max="12577" width="12" style="2" customWidth="1"/>
    <col min="12578" max="12808" width="8.88671875" style="2"/>
    <col min="12809" max="12809" width="5.33203125" style="2" customWidth="1"/>
    <col min="12810" max="12811" width="8.88671875" style="2"/>
    <col min="12812" max="12812" width="6.109375" style="2" customWidth="1"/>
    <col min="12813" max="12813" width="11" style="2" customWidth="1"/>
    <col min="12814" max="12814" width="10.44140625" style="2" customWidth="1"/>
    <col min="12815" max="12815" width="18.109375" style="2" customWidth="1"/>
    <col min="12816" max="12816" width="11.21875" style="2" customWidth="1"/>
    <col min="12817" max="12817" width="10.109375" style="2" customWidth="1"/>
    <col min="12818" max="12818" width="10.77734375" style="2" customWidth="1"/>
    <col min="12819" max="12819" width="8.44140625" style="2" customWidth="1"/>
    <col min="12820" max="12820" width="12.109375" style="2" customWidth="1"/>
    <col min="12821" max="12821" width="10.109375" style="2" bestFit="1" customWidth="1"/>
    <col min="12822" max="12822" width="6" style="2" customWidth="1"/>
    <col min="12823" max="12825" width="9" style="2" bestFit="1" customWidth="1"/>
    <col min="12826" max="12826" width="10.44140625" style="2" customWidth="1"/>
    <col min="12827" max="12828" width="10.33203125" style="2" customWidth="1"/>
    <col min="12829" max="12829" width="13" style="2" customWidth="1"/>
    <col min="12830" max="12830" width="11.109375" style="2" customWidth="1"/>
    <col min="12831" max="12831" width="12.33203125" style="2" customWidth="1"/>
    <col min="12832" max="12832" width="12.6640625" style="2" customWidth="1"/>
    <col min="12833" max="12833" width="12" style="2" customWidth="1"/>
    <col min="12834" max="13064" width="8.88671875" style="2"/>
    <col min="13065" max="13065" width="5.33203125" style="2" customWidth="1"/>
    <col min="13066" max="13067" width="8.88671875" style="2"/>
    <col min="13068" max="13068" width="6.109375" style="2" customWidth="1"/>
    <col min="13069" max="13069" width="11" style="2" customWidth="1"/>
    <col min="13070" max="13070" width="10.44140625" style="2" customWidth="1"/>
    <col min="13071" max="13071" width="18.109375" style="2" customWidth="1"/>
    <col min="13072" max="13072" width="11.21875" style="2" customWidth="1"/>
    <col min="13073" max="13073" width="10.109375" style="2" customWidth="1"/>
    <col min="13074" max="13074" width="10.77734375" style="2" customWidth="1"/>
    <col min="13075" max="13075" width="8.44140625" style="2" customWidth="1"/>
    <col min="13076" max="13076" width="12.109375" style="2" customWidth="1"/>
    <col min="13077" max="13077" width="10.109375" style="2" bestFit="1" customWidth="1"/>
    <col min="13078" max="13078" width="6" style="2" customWidth="1"/>
    <col min="13079" max="13081" width="9" style="2" bestFit="1" customWidth="1"/>
    <col min="13082" max="13082" width="10.44140625" style="2" customWidth="1"/>
    <col min="13083" max="13084" width="10.33203125" style="2" customWidth="1"/>
    <col min="13085" max="13085" width="13" style="2" customWidth="1"/>
    <col min="13086" max="13086" width="11.109375" style="2" customWidth="1"/>
    <col min="13087" max="13087" width="12.33203125" style="2" customWidth="1"/>
    <col min="13088" max="13088" width="12.6640625" style="2" customWidth="1"/>
    <col min="13089" max="13089" width="12" style="2" customWidth="1"/>
    <col min="13090" max="13320" width="8.88671875" style="2"/>
    <col min="13321" max="13321" width="5.33203125" style="2" customWidth="1"/>
    <col min="13322" max="13323" width="8.88671875" style="2"/>
    <col min="13324" max="13324" width="6.109375" style="2" customWidth="1"/>
    <col min="13325" max="13325" width="11" style="2" customWidth="1"/>
    <col min="13326" max="13326" width="10.44140625" style="2" customWidth="1"/>
    <col min="13327" max="13327" width="18.109375" style="2" customWidth="1"/>
    <col min="13328" max="13328" width="11.21875" style="2" customWidth="1"/>
    <col min="13329" max="13329" width="10.109375" style="2" customWidth="1"/>
    <col min="13330" max="13330" width="10.77734375" style="2" customWidth="1"/>
    <col min="13331" max="13331" width="8.44140625" style="2" customWidth="1"/>
    <col min="13332" max="13332" width="12.109375" style="2" customWidth="1"/>
    <col min="13333" max="13333" width="10.109375" style="2" bestFit="1" customWidth="1"/>
    <col min="13334" max="13334" width="6" style="2" customWidth="1"/>
    <col min="13335" max="13337" width="9" style="2" bestFit="1" customWidth="1"/>
    <col min="13338" max="13338" width="10.44140625" style="2" customWidth="1"/>
    <col min="13339" max="13340" width="10.33203125" style="2" customWidth="1"/>
    <col min="13341" max="13341" width="13" style="2" customWidth="1"/>
    <col min="13342" max="13342" width="11.109375" style="2" customWidth="1"/>
    <col min="13343" max="13343" width="12.33203125" style="2" customWidth="1"/>
    <col min="13344" max="13344" width="12.6640625" style="2" customWidth="1"/>
    <col min="13345" max="13345" width="12" style="2" customWidth="1"/>
    <col min="13346" max="13576" width="8.88671875" style="2"/>
    <col min="13577" max="13577" width="5.33203125" style="2" customWidth="1"/>
    <col min="13578" max="13579" width="8.88671875" style="2"/>
    <col min="13580" max="13580" width="6.109375" style="2" customWidth="1"/>
    <col min="13581" max="13581" width="11" style="2" customWidth="1"/>
    <col min="13582" max="13582" width="10.44140625" style="2" customWidth="1"/>
    <col min="13583" max="13583" width="18.109375" style="2" customWidth="1"/>
    <col min="13584" max="13584" width="11.21875" style="2" customWidth="1"/>
    <col min="13585" max="13585" width="10.109375" style="2" customWidth="1"/>
    <col min="13586" max="13586" width="10.77734375" style="2" customWidth="1"/>
    <col min="13587" max="13587" width="8.44140625" style="2" customWidth="1"/>
    <col min="13588" max="13588" width="12.109375" style="2" customWidth="1"/>
    <col min="13589" max="13589" width="10.109375" style="2" bestFit="1" customWidth="1"/>
    <col min="13590" max="13590" width="6" style="2" customWidth="1"/>
    <col min="13591" max="13593" width="9" style="2" bestFit="1" customWidth="1"/>
    <col min="13594" max="13594" width="10.44140625" style="2" customWidth="1"/>
    <col min="13595" max="13596" width="10.33203125" style="2" customWidth="1"/>
    <col min="13597" max="13597" width="13" style="2" customWidth="1"/>
    <col min="13598" max="13598" width="11.109375" style="2" customWidth="1"/>
    <col min="13599" max="13599" width="12.33203125" style="2" customWidth="1"/>
    <col min="13600" max="13600" width="12.6640625" style="2" customWidth="1"/>
    <col min="13601" max="13601" width="12" style="2" customWidth="1"/>
    <col min="13602" max="13832" width="8.88671875" style="2"/>
    <col min="13833" max="13833" width="5.33203125" style="2" customWidth="1"/>
    <col min="13834" max="13835" width="8.88671875" style="2"/>
    <col min="13836" max="13836" width="6.109375" style="2" customWidth="1"/>
    <col min="13837" max="13837" width="11" style="2" customWidth="1"/>
    <col min="13838" max="13838" width="10.44140625" style="2" customWidth="1"/>
    <col min="13839" max="13839" width="18.109375" style="2" customWidth="1"/>
    <col min="13840" max="13840" width="11.21875" style="2" customWidth="1"/>
    <col min="13841" max="13841" width="10.109375" style="2" customWidth="1"/>
    <col min="13842" max="13842" width="10.77734375" style="2" customWidth="1"/>
    <col min="13843" max="13843" width="8.44140625" style="2" customWidth="1"/>
    <col min="13844" max="13844" width="12.109375" style="2" customWidth="1"/>
    <col min="13845" max="13845" width="10.109375" style="2" bestFit="1" customWidth="1"/>
    <col min="13846" max="13846" width="6" style="2" customWidth="1"/>
    <col min="13847" max="13849" width="9" style="2" bestFit="1" customWidth="1"/>
    <col min="13850" max="13850" width="10.44140625" style="2" customWidth="1"/>
    <col min="13851" max="13852" width="10.33203125" style="2" customWidth="1"/>
    <col min="13853" max="13853" width="13" style="2" customWidth="1"/>
    <col min="13854" max="13854" width="11.109375" style="2" customWidth="1"/>
    <col min="13855" max="13855" width="12.33203125" style="2" customWidth="1"/>
    <col min="13856" max="13856" width="12.6640625" style="2" customWidth="1"/>
    <col min="13857" max="13857" width="12" style="2" customWidth="1"/>
    <col min="13858" max="14088" width="8.88671875" style="2"/>
    <col min="14089" max="14089" width="5.33203125" style="2" customWidth="1"/>
    <col min="14090" max="14091" width="8.88671875" style="2"/>
    <col min="14092" max="14092" width="6.109375" style="2" customWidth="1"/>
    <col min="14093" max="14093" width="11" style="2" customWidth="1"/>
    <col min="14094" max="14094" width="10.44140625" style="2" customWidth="1"/>
    <col min="14095" max="14095" width="18.109375" style="2" customWidth="1"/>
    <col min="14096" max="14096" width="11.21875" style="2" customWidth="1"/>
    <col min="14097" max="14097" width="10.109375" style="2" customWidth="1"/>
    <col min="14098" max="14098" width="10.77734375" style="2" customWidth="1"/>
    <col min="14099" max="14099" width="8.44140625" style="2" customWidth="1"/>
    <col min="14100" max="14100" width="12.109375" style="2" customWidth="1"/>
    <col min="14101" max="14101" width="10.109375" style="2" bestFit="1" customWidth="1"/>
    <col min="14102" max="14102" width="6" style="2" customWidth="1"/>
    <col min="14103" max="14105" width="9" style="2" bestFit="1" customWidth="1"/>
    <col min="14106" max="14106" width="10.44140625" style="2" customWidth="1"/>
    <col min="14107" max="14108" width="10.33203125" style="2" customWidth="1"/>
    <col min="14109" max="14109" width="13" style="2" customWidth="1"/>
    <col min="14110" max="14110" width="11.109375" style="2" customWidth="1"/>
    <col min="14111" max="14111" width="12.33203125" style="2" customWidth="1"/>
    <col min="14112" max="14112" width="12.6640625" style="2" customWidth="1"/>
    <col min="14113" max="14113" width="12" style="2" customWidth="1"/>
    <col min="14114" max="14344" width="8.88671875" style="2"/>
    <col min="14345" max="14345" width="5.33203125" style="2" customWidth="1"/>
    <col min="14346" max="14347" width="8.88671875" style="2"/>
    <col min="14348" max="14348" width="6.109375" style="2" customWidth="1"/>
    <col min="14349" max="14349" width="11" style="2" customWidth="1"/>
    <col min="14350" max="14350" width="10.44140625" style="2" customWidth="1"/>
    <col min="14351" max="14351" width="18.109375" style="2" customWidth="1"/>
    <col min="14352" max="14352" width="11.21875" style="2" customWidth="1"/>
    <col min="14353" max="14353" width="10.109375" style="2" customWidth="1"/>
    <col min="14354" max="14354" width="10.77734375" style="2" customWidth="1"/>
    <col min="14355" max="14355" width="8.44140625" style="2" customWidth="1"/>
    <col min="14356" max="14356" width="12.109375" style="2" customWidth="1"/>
    <col min="14357" max="14357" width="10.109375" style="2" bestFit="1" customWidth="1"/>
    <col min="14358" max="14358" width="6" style="2" customWidth="1"/>
    <col min="14359" max="14361" width="9" style="2" bestFit="1" customWidth="1"/>
    <col min="14362" max="14362" width="10.44140625" style="2" customWidth="1"/>
    <col min="14363" max="14364" width="10.33203125" style="2" customWidth="1"/>
    <col min="14365" max="14365" width="13" style="2" customWidth="1"/>
    <col min="14366" max="14366" width="11.109375" style="2" customWidth="1"/>
    <col min="14367" max="14367" width="12.33203125" style="2" customWidth="1"/>
    <col min="14368" max="14368" width="12.6640625" style="2" customWidth="1"/>
    <col min="14369" max="14369" width="12" style="2" customWidth="1"/>
    <col min="14370" max="14600" width="8.88671875" style="2"/>
    <col min="14601" max="14601" width="5.33203125" style="2" customWidth="1"/>
    <col min="14602" max="14603" width="8.88671875" style="2"/>
    <col min="14604" max="14604" width="6.109375" style="2" customWidth="1"/>
    <col min="14605" max="14605" width="11" style="2" customWidth="1"/>
    <col min="14606" max="14606" width="10.44140625" style="2" customWidth="1"/>
    <col min="14607" max="14607" width="18.109375" style="2" customWidth="1"/>
    <col min="14608" max="14608" width="11.21875" style="2" customWidth="1"/>
    <col min="14609" max="14609" width="10.109375" style="2" customWidth="1"/>
    <col min="14610" max="14610" width="10.77734375" style="2" customWidth="1"/>
    <col min="14611" max="14611" width="8.44140625" style="2" customWidth="1"/>
    <col min="14612" max="14612" width="12.109375" style="2" customWidth="1"/>
    <col min="14613" max="14613" width="10.109375" style="2" bestFit="1" customWidth="1"/>
    <col min="14614" max="14614" width="6" style="2" customWidth="1"/>
    <col min="14615" max="14617" width="9" style="2" bestFit="1" customWidth="1"/>
    <col min="14618" max="14618" width="10.44140625" style="2" customWidth="1"/>
    <col min="14619" max="14620" width="10.33203125" style="2" customWidth="1"/>
    <col min="14621" max="14621" width="13" style="2" customWidth="1"/>
    <col min="14622" max="14622" width="11.109375" style="2" customWidth="1"/>
    <col min="14623" max="14623" width="12.33203125" style="2" customWidth="1"/>
    <col min="14624" max="14624" width="12.6640625" style="2" customWidth="1"/>
    <col min="14625" max="14625" width="12" style="2" customWidth="1"/>
    <col min="14626" max="14856" width="8.88671875" style="2"/>
    <col min="14857" max="14857" width="5.33203125" style="2" customWidth="1"/>
    <col min="14858" max="14859" width="8.88671875" style="2"/>
    <col min="14860" max="14860" width="6.109375" style="2" customWidth="1"/>
    <col min="14861" max="14861" width="11" style="2" customWidth="1"/>
    <col min="14862" max="14862" width="10.44140625" style="2" customWidth="1"/>
    <col min="14863" max="14863" width="18.109375" style="2" customWidth="1"/>
    <col min="14864" max="14864" width="11.21875" style="2" customWidth="1"/>
    <col min="14865" max="14865" width="10.109375" style="2" customWidth="1"/>
    <col min="14866" max="14866" width="10.77734375" style="2" customWidth="1"/>
    <col min="14867" max="14867" width="8.44140625" style="2" customWidth="1"/>
    <col min="14868" max="14868" width="12.109375" style="2" customWidth="1"/>
    <col min="14869" max="14869" width="10.109375" style="2" bestFit="1" customWidth="1"/>
    <col min="14870" max="14870" width="6" style="2" customWidth="1"/>
    <col min="14871" max="14873" width="9" style="2" bestFit="1" customWidth="1"/>
    <col min="14874" max="14874" width="10.44140625" style="2" customWidth="1"/>
    <col min="14875" max="14876" width="10.33203125" style="2" customWidth="1"/>
    <col min="14877" max="14877" width="13" style="2" customWidth="1"/>
    <col min="14878" max="14878" width="11.109375" style="2" customWidth="1"/>
    <col min="14879" max="14879" width="12.33203125" style="2" customWidth="1"/>
    <col min="14880" max="14880" width="12.6640625" style="2" customWidth="1"/>
    <col min="14881" max="14881" width="12" style="2" customWidth="1"/>
    <col min="14882" max="15112" width="8.88671875" style="2"/>
    <col min="15113" max="15113" width="5.33203125" style="2" customWidth="1"/>
    <col min="15114" max="15115" width="8.88671875" style="2"/>
    <col min="15116" max="15116" width="6.109375" style="2" customWidth="1"/>
    <col min="15117" max="15117" width="11" style="2" customWidth="1"/>
    <col min="15118" max="15118" width="10.44140625" style="2" customWidth="1"/>
    <col min="15119" max="15119" width="18.109375" style="2" customWidth="1"/>
    <col min="15120" max="15120" width="11.21875" style="2" customWidth="1"/>
    <col min="15121" max="15121" width="10.109375" style="2" customWidth="1"/>
    <col min="15122" max="15122" width="10.77734375" style="2" customWidth="1"/>
    <col min="15123" max="15123" width="8.44140625" style="2" customWidth="1"/>
    <col min="15124" max="15124" width="12.109375" style="2" customWidth="1"/>
    <col min="15125" max="15125" width="10.109375" style="2" bestFit="1" customWidth="1"/>
    <col min="15126" max="15126" width="6" style="2" customWidth="1"/>
    <col min="15127" max="15129" width="9" style="2" bestFit="1" customWidth="1"/>
    <col min="15130" max="15130" width="10.44140625" style="2" customWidth="1"/>
    <col min="15131" max="15132" width="10.33203125" style="2" customWidth="1"/>
    <col min="15133" max="15133" width="13" style="2" customWidth="1"/>
    <col min="15134" max="15134" width="11.109375" style="2" customWidth="1"/>
    <col min="15135" max="15135" width="12.33203125" style="2" customWidth="1"/>
    <col min="15136" max="15136" width="12.6640625" style="2" customWidth="1"/>
    <col min="15137" max="15137" width="12" style="2" customWidth="1"/>
    <col min="15138" max="15368" width="8.88671875" style="2"/>
    <col min="15369" max="15369" width="5.33203125" style="2" customWidth="1"/>
    <col min="15370" max="15371" width="8.88671875" style="2"/>
    <col min="15372" max="15372" width="6.109375" style="2" customWidth="1"/>
    <col min="15373" max="15373" width="11" style="2" customWidth="1"/>
    <col min="15374" max="15374" width="10.44140625" style="2" customWidth="1"/>
    <col min="15375" max="15375" width="18.109375" style="2" customWidth="1"/>
    <col min="15376" max="15376" width="11.21875" style="2" customWidth="1"/>
    <col min="15377" max="15377" width="10.109375" style="2" customWidth="1"/>
    <col min="15378" max="15378" width="10.77734375" style="2" customWidth="1"/>
    <col min="15379" max="15379" width="8.44140625" style="2" customWidth="1"/>
    <col min="15380" max="15380" width="12.109375" style="2" customWidth="1"/>
    <col min="15381" max="15381" width="10.109375" style="2" bestFit="1" customWidth="1"/>
    <col min="15382" max="15382" width="6" style="2" customWidth="1"/>
    <col min="15383" max="15385" width="9" style="2" bestFit="1" customWidth="1"/>
    <col min="15386" max="15386" width="10.44140625" style="2" customWidth="1"/>
    <col min="15387" max="15388" width="10.33203125" style="2" customWidth="1"/>
    <col min="15389" max="15389" width="13" style="2" customWidth="1"/>
    <col min="15390" max="15390" width="11.109375" style="2" customWidth="1"/>
    <col min="15391" max="15391" width="12.33203125" style="2" customWidth="1"/>
    <col min="15392" max="15392" width="12.6640625" style="2" customWidth="1"/>
    <col min="15393" max="15393" width="12" style="2" customWidth="1"/>
    <col min="15394" max="15624" width="8.88671875" style="2"/>
    <col min="15625" max="15625" width="5.33203125" style="2" customWidth="1"/>
    <col min="15626" max="15627" width="8.88671875" style="2"/>
    <col min="15628" max="15628" width="6.109375" style="2" customWidth="1"/>
    <col min="15629" max="15629" width="11" style="2" customWidth="1"/>
    <col min="15630" max="15630" width="10.44140625" style="2" customWidth="1"/>
    <col min="15631" max="15631" width="18.109375" style="2" customWidth="1"/>
    <col min="15632" max="15632" width="11.21875" style="2" customWidth="1"/>
    <col min="15633" max="15633" width="10.109375" style="2" customWidth="1"/>
    <col min="15634" max="15634" width="10.77734375" style="2" customWidth="1"/>
    <col min="15635" max="15635" width="8.44140625" style="2" customWidth="1"/>
    <col min="15636" max="15636" width="12.109375" style="2" customWidth="1"/>
    <col min="15637" max="15637" width="10.109375" style="2" bestFit="1" customWidth="1"/>
    <col min="15638" max="15638" width="6" style="2" customWidth="1"/>
    <col min="15639" max="15641" width="9" style="2" bestFit="1" customWidth="1"/>
    <col min="15642" max="15642" width="10.44140625" style="2" customWidth="1"/>
    <col min="15643" max="15644" width="10.33203125" style="2" customWidth="1"/>
    <col min="15645" max="15645" width="13" style="2" customWidth="1"/>
    <col min="15646" max="15646" width="11.109375" style="2" customWidth="1"/>
    <col min="15647" max="15647" width="12.33203125" style="2" customWidth="1"/>
    <col min="15648" max="15648" width="12.6640625" style="2" customWidth="1"/>
    <col min="15649" max="15649" width="12" style="2" customWidth="1"/>
    <col min="15650" max="15880" width="8.88671875" style="2"/>
    <col min="15881" max="15881" width="5.33203125" style="2" customWidth="1"/>
    <col min="15882" max="15883" width="8.88671875" style="2"/>
    <col min="15884" max="15884" width="6.109375" style="2" customWidth="1"/>
    <col min="15885" max="15885" width="11" style="2" customWidth="1"/>
    <col min="15886" max="15886" width="10.44140625" style="2" customWidth="1"/>
    <col min="15887" max="15887" width="18.109375" style="2" customWidth="1"/>
    <col min="15888" max="15888" width="11.21875" style="2" customWidth="1"/>
    <col min="15889" max="15889" width="10.109375" style="2" customWidth="1"/>
    <col min="15890" max="15890" width="10.77734375" style="2" customWidth="1"/>
    <col min="15891" max="15891" width="8.44140625" style="2" customWidth="1"/>
    <col min="15892" max="15892" width="12.109375" style="2" customWidth="1"/>
    <col min="15893" max="15893" width="10.109375" style="2" bestFit="1" customWidth="1"/>
    <col min="15894" max="15894" width="6" style="2" customWidth="1"/>
    <col min="15895" max="15897" width="9" style="2" bestFit="1" customWidth="1"/>
    <col min="15898" max="15898" width="10.44140625" style="2" customWidth="1"/>
    <col min="15899" max="15900" width="10.33203125" style="2" customWidth="1"/>
    <col min="15901" max="15901" width="13" style="2" customWidth="1"/>
    <col min="15902" max="15902" width="11.109375" style="2" customWidth="1"/>
    <col min="15903" max="15903" width="12.33203125" style="2" customWidth="1"/>
    <col min="15904" max="15904" width="12.6640625" style="2" customWidth="1"/>
    <col min="15905" max="15905" width="12" style="2" customWidth="1"/>
    <col min="15906" max="16136" width="8.88671875" style="2"/>
    <col min="16137" max="16137" width="5.33203125" style="2" customWidth="1"/>
    <col min="16138" max="16139" width="8.88671875" style="2"/>
    <col min="16140" max="16140" width="6.109375" style="2" customWidth="1"/>
    <col min="16141" max="16141" width="11" style="2" customWidth="1"/>
    <col min="16142" max="16142" width="10.44140625" style="2" customWidth="1"/>
    <col min="16143" max="16143" width="18.109375" style="2" customWidth="1"/>
    <col min="16144" max="16144" width="11.21875" style="2" customWidth="1"/>
    <col min="16145" max="16145" width="10.109375" style="2" customWidth="1"/>
    <col min="16146" max="16146" width="10.77734375" style="2" customWidth="1"/>
    <col min="16147" max="16147" width="8.44140625" style="2" customWidth="1"/>
    <col min="16148" max="16148" width="12.109375" style="2" customWidth="1"/>
    <col min="16149" max="16149" width="10.109375" style="2" bestFit="1" customWidth="1"/>
    <col min="16150" max="16150" width="6" style="2" customWidth="1"/>
    <col min="16151" max="16153" width="9" style="2" bestFit="1" customWidth="1"/>
    <col min="16154" max="16154" width="10.44140625" style="2" customWidth="1"/>
    <col min="16155" max="16156" width="10.33203125" style="2" customWidth="1"/>
    <col min="16157" max="16157" width="13" style="2" customWidth="1"/>
    <col min="16158" max="16158" width="11.109375" style="2" customWidth="1"/>
    <col min="16159" max="16159" width="12.33203125" style="2" customWidth="1"/>
    <col min="16160" max="16160" width="12.6640625" style="2" customWidth="1"/>
    <col min="16161" max="16161" width="12" style="2" customWidth="1"/>
    <col min="16162" max="16384" width="8.88671875" style="2"/>
  </cols>
  <sheetData>
    <row r="2" spans="1:36" x14ac:dyDescent="0.3">
      <c r="A2" s="1"/>
      <c r="B2" s="1"/>
      <c r="C2" s="1"/>
      <c r="D2" s="1"/>
      <c r="E2" s="1"/>
      <c r="F2" s="12" t="s">
        <v>44</v>
      </c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28"/>
      <c r="AG2" s="1"/>
    </row>
    <row r="3" spans="1:36" ht="15.6" x14ac:dyDescent="0.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</row>
    <row r="4" spans="1:36" x14ac:dyDescent="0.3">
      <c r="A4" s="12" t="s">
        <v>42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</row>
    <row r="5" spans="1:36" ht="15.6" customHeight="1" x14ac:dyDescent="0.3"/>
    <row r="6" spans="1:36" ht="15.6" customHeight="1" x14ac:dyDescent="0.3">
      <c r="A6" s="20" t="s">
        <v>0</v>
      </c>
      <c r="B6" s="20" t="s">
        <v>1</v>
      </c>
      <c r="C6" s="20"/>
      <c r="D6" s="20"/>
      <c r="E6" s="20" t="s">
        <v>2</v>
      </c>
      <c r="F6" s="22" t="s">
        <v>28</v>
      </c>
      <c r="G6" s="22"/>
      <c r="H6" s="22" t="s">
        <v>29</v>
      </c>
      <c r="I6" s="22"/>
      <c r="J6" s="22" t="s">
        <v>30</v>
      </c>
      <c r="K6" s="22"/>
      <c r="L6" s="22" t="s">
        <v>31</v>
      </c>
      <c r="M6" s="22"/>
      <c r="N6" s="22" t="s">
        <v>32</v>
      </c>
      <c r="O6" s="22"/>
      <c r="P6" s="22" t="s">
        <v>33</v>
      </c>
      <c r="Q6" s="22"/>
      <c r="R6" s="22" t="s">
        <v>34</v>
      </c>
      <c r="S6" s="22"/>
      <c r="T6" s="22" t="s">
        <v>35</v>
      </c>
      <c r="U6" s="22"/>
      <c r="V6" s="22" t="s">
        <v>36</v>
      </c>
      <c r="W6" s="22"/>
      <c r="X6" s="22" t="s">
        <v>37</v>
      </c>
      <c r="Y6" s="22"/>
      <c r="Z6" s="22" t="s">
        <v>38</v>
      </c>
      <c r="AA6" s="22"/>
      <c r="AB6" s="22" t="s">
        <v>39</v>
      </c>
      <c r="AC6" s="22"/>
      <c r="AD6" s="22" t="s">
        <v>40</v>
      </c>
      <c r="AE6" s="22"/>
      <c r="AF6" s="22" t="s">
        <v>41</v>
      </c>
      <c r="AG6" s="22"/>
    </row>
    <row r="7" spans="1:36" ht="34.799999999999997" customHeight="1" x14ac:dyDescent="0.3">
      <c r="A7" s="20"/>
      <c r="B7" s="20"/>
      <c r="C7" s="20"/>
      <c r="D7" s="20"/>
      <c r="E7" s="20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</row>
    <row r="8" spans="1:36" ht="14.4" customHeight="1" x14ac:dyDescent="0.3">
      <c r="A8" s="20"/>
      <c r="B8" s="20"/>
      <c r="C8" s="20"/>
      <c r="D8" s="20"/>
      <c r="E8" s="20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</row>
    <row r="9" spans="1:36" x14ac:dyDescent="0.3">
      <c r="A9" s="20"/>
      <c r="B9" s="20"/>
      <c r="C9" s="20"/>
      <c r="D9" s="20"/>
      <c r="E9" s="20"/>
      <c r="F9" s="18" t="s">
        <v>26</v>
      </c>
      <c r="G9" s="18" t="s">
        <v>27</v>
      </c>
      <c r="H9" s="18" t="s">
        <v>26</v>
      </c>
      <c r="I9" s="18" t="s">
        <v>27</v>
      </c>
      <c r="J9" s="18" t="s">
        <v>26</v>
      </c>
      <c r="K9" s="18" t="s">
        <v>27</v>
      </c>
      <c r="L9" s="18" t="s">
        <v>26</v>
      </c>
      <c r="M9" s="18" t="s">
        <v>27</v>
      </c>
      <c r="N9" s="18" t="s">
        <v>26</v>
      </c>
      <c r="O9" s="18" t="s">
        <v>27</v>
      </c>
      <c r="P9" s="18" t="s">
        <v>26</v>
      </c>
      <c r="Q9" s="18" t="s">
        <v>27</v>
      </c>
      <c r="R9" s="18" t="s">
        <v>26</v>
      </c>
      <c r="S9" s="18" t="s">
        <v>27</v>
      </c>
      <c r="T9" s="18" t="s">
        <v>26</v>
      </c>
      <c r="U9" s="18" t="s">
        <v>27</v>
      </c>
      <c r="V9" s="18" t="s">
        <v>26</v>
      </c>
      <c r="W9" s="18" t="s">
        <v>27</v>
      </c>
      <c r="X9" s="18" t="s">
        <v>26</v>
      </c>
      <c r="Y9" s="18" t="s">
        <v>27</v>
      </c>
      <c r="Z9" s="18" t="s">
        <v>26</v>
      </c>
      <c r="AA9" s="18" t="s">
        <v>27</v>
      </c>
      <c r="AB9" s="18" t="s">
        <v>26</v>
      </c>
      <c r="AC9" s="18" t="s">
        <v>27</v>
      </c>
      <c r="AD9" s="18" t="s">
        <v>26</v>
      </c>
      <c r="AE9" s="18" t="s">
        <v>27</v>
      </c>
      <c r="AF9" s="18" t="s">
        <v>26</v>
      </c>
      <c r="AG9" s="18" t="s">
        <v>27</v>
      </c>
    </row>
    <row r="10" spans="1:36" ht="15.6" customHeight="1" x14ac:dyDescent="0.3">
      <c r="A10" s="19"/>
      <c r="B10" s="20">
        <v>1</v>
      </c>
      <c r="C10" s="20"/>
      <c r="D10" s="20"/>
      <c r="E10" s="19">
        <v>2</v>
      </c>
      <c r="F10" s="19">
        <v>4</v>
      </c>
      <c r="G10" s="19">
        <v>5</v>
      </c>
      <c r="H10" s="19">
        <v>6</v>
      </c>
      <c r="I10" s="19">
        <v>7</v>
      </c>
      <c r="J10" s="19">
        <v>8</v>
      </c>
      <c r="K10" s="19">
        <v>9</v>
      </c>
      <c r="L10" s="19">
        <v>10</v>
      </c>
      <c r="M10" s="19">
        <v>11</v>
      </c>
      <c r="N10" s="19">
        <v>12</v>
      </c>
      <c r="O10" s="19">
        <v>13</v>
      </c>
      <c r="P10" s="19">
        <v>14</v>
      </c>
      <c r="Q10" s="19">
        <v>15</v>
      </c>
      <c r="R10" s="19">
        <v>16</v>
      </c>
      <c r="S10" s="19">
        <v>17</v>
      </c>
      <c r="T10" s="19">
        <v>18</v>
      </c>
      <c r="U10" s="19">
        <v>19</v>
      </c>
      <c r="V10" s="19">
        <v>20</v>
      </c>
      <c r="W10" s="19">
        <v>21</v>
      </c>
      <c r="X10" s="19">
        <v>22</v>
      </c>
      <c r="Y10" s="19">
        <v>23</v>
      </c>
      <c r="Z10" s="19">
        <v>24</v>
      </c>
      <c r="AA10" s="19">
        <v>25</v>
      </c>
      <c r="AB10" s="19">
        <v>26</v>
      </c>
      <c r="AC10" s="19">
        <v>27</v>
      </c>
      <c r="AD10" s="19">
        <v>28</v>
      </c>
      <c r="AE10" s="19">
        <v>29</v>
      </c>
      <c r="AF10" s="19">
        <v>30</v>
      </c>
      <c r="AG10" s="19">
        <v>31</v>
      </c>
    </row>
    <row r="11" spans="1:36" ht="36" customHeight="1" x14ac:dyDescent="0.3">
      <c r="A11" s="42">
        <v>1</v>
      </c>
      <c r="B11" s="43" t="s">
        <v>3</v>
      </c>
      <c r="C11" s="43"/>
      <c r="D11" s="43"/>
      <c r="E11" s="44" t="s">
        <v>4</v>
      </c>
      <c r="F11" s="42">
        <v>81084.69</v>
      </c>
      <c r="G11" s="42">
        <f>F11</f>
        <v>81084.69</v>
      </c>
      <c r="H11" s="45">
        <f>2611.31</f>
        <v>2611.31</v>
      </c>
      <c r="I11" s="45">
        <f>H11</f>
        <v>2611.31</v>
      </c>
      <c r="J11" s="46">
        <v>0</v>
      </c>
      <c r="K11" s="46">
        <v>0</v>
      </c>
      <c r="L11" s="45">
        <v>0</v>
      </c>
      <c r="M11" s="45">
        <v>0</v>
      </c>
      <c r="N11" s="42">
        <v>70874.710000000006</v>
      </c>
      <c r="O11" s="42">
        <f>N11</f>
        <v>70874.710000000006</v>
      </c>
      <c r="P11" s="45">
        <v>74249.7</v>
      </c>
      <c r="Q11" s="45">
        <f>P11</f>
        <v>74249.7</v>
      </c>
      <c r="R11" s="45">
        <v>74249.7</v>
      </c>
      <c r="S11" s="45">
        <v>74249.7</v>
      </c>
      <c r="T11" s="42">
        <v>73113.31</v>
      </c>
      <c r="U11" s="42">
        <f>T11</f>
        <v>73113.31</v>
      </c>
      <c r="V11" s="42">
        <v>148253.91</v>
      </c>
      <c r="W11" s="42">
        <f>V11</f>
        <v>148253.91</v>
      </c>
      <c r="X11" s="42">
        <v>73102.06</v>
      </c>
      <c r="Y11" s="42">
        <f>X11</f>
        <v>73102.06</v>
      </c>
      <c r="Z11" s="45">
        <v>145690.19</v>
      </c>
      <c r="AA11" s="45">
        <f>Z11</f>
        <v>145690.19</v>
      </c>
      <c r="AB11" s="42">
        <v>87303.93</v>
      </c>
      <c r="AC11" s="42">
        <f>AB11</f>
        <v>87303.93</v>
      </c>
      <c r="AD11" s="42">
        <f>36324.61+5082.26</f>
        <v>41406.870000000003</v>
      </c>
      <c r="AE11" s="42">
        <v>36324.61</v>
      </c>
      <c r="AF11" s="47">
        <f>53125.13+79778.63-5082.26+56009.46</f>
        <v>183830.96000000002</v>
      </c>
      <c r="AG11" s="46">
        <f>53125.13+56009.46</f>
        <v>109134.59</v>
      </c>
    </row>
    <row r="12" spans="1:36" ht="33.6" customHeight="1" x14ac:dyDescent="0.3">
      <c r="A12" s="42">
        <v>2</v>
      </c>
      <c r="B12" s="43" t="s">
        <v>5</v>
      </c>
      <c r="C12" s="43"/>
      <c r="D12" s="43"/>
      <c r="E12" s="42" t="s">
        <v>6</v>
      </c>
      <c r="F12" s="42">
        <v>51692.54</v>
      </c>
      <c r="G12" s="42">
        <f>F12-4621</f>
        <v>47071.54</v>
      </c>
      <c r="H12" s="45">
        <v>51770.12</v>
      </c>
      <c r="I12" s="45">
        <f>51770.12+4621</f>
        <v>56391.12</v>
      </c>
      <c r="J12" s="45">
        <v>51770.12</v>
      </c>
      <c r="K12" s="45">
        <v>51770.12</v>
      </c>
      <c r="L12" s="45">
        <v>48259.45</v>
      </c>
      <c r="M12" s="45">
        <f>L12</f>
        <v>48259.45</v>
      </c>
      <c r="N12" s="42">
        <v>82964.820000000007</v>
      </c>
      <c r="O12" s="42">
        <f>N12</f>
        <v>82964.820000000007</v>
      </c>
      <c r="P12" s="45">
        <v>51770.12</v>
      </c>
      <c r="Q12" s="45">
        <f>P12</f>
        <v>51770.12</v>
      </c>
      <c r="R12" s="45">
        <v>51770.12</v>
      </c>
      <c r="S12" s="45">
        <v>51770.12</v>
      </c>
      <c r="T12" s="42">
        <v>58251.01</v>
      </c>
      <c r="U12" s="42">
        <f>T12</f>
        <v>58251.01</v>
      </c>
      <c r="V12" s="42">
        <v>92763.87</v>
      </c>
      <c r="W12" s="42">
        <f>V12</f>
        <v>92763.87</v>
      </c>
      <c r="X12" s="42">
        <v>51903.35</v>
      </c>
      <c r="Y12" s="42">
        <v>51903.35</v>
      </c>
      <c r="Z12" s="42">
        <v>51903.35</v>
      </c>
      <c r="AA12" s="42">
        <v>51903.35</v>
      </c>
      <c r="AB12" s="42">
        <v>54867.15</v>
      </c>
      <c r="AC12" s="42">
        <f>AB12</f>
        <v>54867.15</v>
      </c>
      <c r="AD12" s="42">
        <f>25348.3+2544.68</f>
        <v>27892.98</v>
      </c>
      <c r="AE12" s="42">
        <v>25348.3</v>
      </c>
      <c r="AF12" s="42">
        <f>21470.71+33982.79-2544.68+36941.47</f>
        <v>89850.290000000008</v>
      </c>
      <c r="AG12" s="42">
        <f>21470.71+36941.47</f>
        <v>58412.18</v>
      </c>
    </row>
    <row r="13" spans="1:36" ht="21.6" customHeight="1" x14ac:dyDescent="0.3">
      <c r="A13" s="43" t="s">
        <v>7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</row>
    <row r="14" spans="1:36" ht="40.799999999999997" customHeight="1" x14ac:dyDescent="0.3">
      <c r="A14" s="42">
        <v>3</v>
      </c>
      <c r="B14" s="43" t="s">
        <v>8</v>
      </c>
      <c r="C14" s="43"/>
      <c r="D14" s="43"/>
      <c r="E14" s="44" t="s">
        <v>4</v>
      </c>
      <c r="F14" s="46">
        <v>0</v>
      </c>
      <c r="G14" s="46">
        <v>0</v>
      </c>
      <c r="H14" s="45">
        <v>0</v>
      </c>
      <c r="I14" s="47">
        <v>0</v>
      </c>
      <c r="J14" s="47">
        <v>0</v>
      </c>
      <c r="K14" s="46">
        <v>0</v>
      </c>
      <c r="L14" s="45">
        <v>0</v>
      </c>
      <c r="M14" s="45">
        <v>0</v>
      </c>
      <c r="N14" s="48">
        <f>31301.25+20867.5</f>
        <v>52168.75</v>
      </c>
      <c r="O14" s="42">
        <f>N14</f>
        <v>52168.75</v>
      </c>
      <c r="P14" s="45">
        <f>40507.5+27005</f>
        <v>67512.5</v>
      </c>
      <c r="Q14" s="45">
        <f>P14</f>
        <v>67512.5</v>
      </c>
      <c r="R14" s="42">
        <f>40507.5+27005</f>
        <v>67512.5</v>
      </c>
      <c r="S14" s="42">
        <f>R14</f>
        <v>67512.5</v>
      </c>
      <c r="T14" s="42">
        <f>41154.91+27005</f>
        <v>68159.91</v>
      </c>
      <c r="U14" s="42">
        <f>T14</f>
        <v>68159.91</v>
      </c>
      <c r="V14" s="42">
        <f>41140.73+27005</f>
        <v>68145.73000000001</v>
      </c>
      <c r="W14" s="42">
        <f>V14</f>
        <v>68145.73000000001</v>
      </c>
      <c r="X14" s="42">
        <f>37458.23+92382.59</f>
        <v>129840.82</v>
      </c>
      <c r="Y14" s="42">
        <f>X14</f>
        <v>129840.82</v>
      </c>
      <c r="Z14" s="42">
        <f>76286.25+50110</f>
        <v>126396.25</v>
      </c>
      <c r="AA14" s="46">
        <f>Z14</f>
        <v>126396.25</v>
      </c>
      <c r="AB14" s="46">
        <f>37458.23+24550</f>
        <v>62008.23</v>
      </c>
      <c r="AC14" s="46">
        <f>AB14</f>
        <v>62008.23</v>
      </c>
      <c r="AD14" s="46">
        <f>8265.09+23954.69</f>
        <v>32219.78</v>
      </c>
      <c r="AE14" s="46">
        <f>AD14</f>
        <v>32219.78</v>
      </c>
      <c r="AF14" s="42">
        <f>5593.24+4969.46+6868.64+57855.63+0.03</f>
        <v>75287</v>
      </c>
      <c r="AG14" s="42">
        <f>5593.27+6868.64+57855.63</f>
        <v>70317.539999999994</v>
      </c>
    </row>
    <row r="15" spans="1:36" ht="33" customHeight="1" x14ac:dyDescent="0.3">
      <c r="A15" s="43" t="s">
        <v>9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</row>
    <row r="16" spans="1:36" s="10" customFormat="1" ht="38.4" customHeight="1" x14ac:dyDescent="0.3">
      <c r="A16" s="42">
        <v>4</v>
      </c>
      <c r="B16" s="49" t="s">
        <v>10</v>
      </c>
      <c r="C16" s="43"/>
      <c r="D16" s="43"/>
      <c r="E16" s="50" t="s">
        <v>11</v>
      </c>
      <c r="F16" s="42">
        <v>76374.47</v>
      </c>
      <c r="G16" s="42">
        <f>F16-5894.94</f>
        <v>70479.53</v>
      </c>
      <c r="H16" s="45">
        <v>81075</v>
      </c>
      <c r="I16" s="45">
        <f>H16+5894.94</f>
        <v>86969.94</v>
      </c>
      <c r="J16" s="45">
        <v>81075</v>
      </c>
      <c r="K16" s="45">
        <v>81075</v>
      </c>
      <c r="L16" s="45">
        <v>104137.23</v>
      </c>
      <c r="M16" s="45">
        <f>L16</f>
        <v>104137.23</v>
      </c>
      <c r="N16" s="42">
        <v>62648.88</v>
      </c>
      <c r="O16" s="42">
        <f>N16</f>
        <v>62648.88</v>
      </c>
      <c r="P16" s="45">
        <v>81075</v>
      </c>
      <c r="Q16" s="45">
        <v>81075</v>
      </c>
      <c r="R16" s="42">
        <v>108655.31</v>
      </c>
      <c r="S16" s="46">
        <f>R16</f>
        <v>108655.31</v>
      </c>
      <c r="T16" s="46">
        <v>127293.02</v>
      </c>
      <c r="U16" s="46">
        <f>T16</f>
        <v>127293.02</v>
      </c>
      <c r="V16" s="46">
        <v>77516.97</v>
      </c>
      <c r="W16" s="46">
        <f>V16</f>
        <v>77516.97</v>
      </c>
      <c r="X16" s="46">
        <v>81787.8</v>
      </c>
      <c r="Y16" s="46">
        <f>X16</f>
        <v>81787.8</v>
      </c>
      <c r="Z16" s="45">
        <v>102767.51</v>
      </c>
      <c r="AA16" s="45">
        <f>Z16</f>
        <v>102767.51</v>
      </c>
      <c r="AB16" s="45">
        <v>146468.25</v>
      </c>
      <c r="AC16" s="45">
        <f>AB16</f>
        <v>146468.25</v>
      </c>
      <c r="AD16" s="45">
        <f>34818.06+7628.94</f>
        <v>42447</v>
      </c>
      <c r="AE16" s="45">
        <v>34818.06</v>
      </c>
      <c r="AF16" s="46">
        <f>45674.15+65015.59-7628.94+48102.6</f>
        <v>151163.4</v>
      </c>
      <c r="AG16" s="46">
        <f>45674.15+48102.6</f>
        <v>93776.75</v>
      </c>
      <c r="AJ16" s="11"/>
    </row>
    <row r="17" spans="1:33" ht="36" customHeight="1" x14ac:dyDescent="0.3">
      <c r="A17" s="42">
        <v>5</v>
      </c>
      <c r="B17" s="43" t="s">
        <v>12</v>
      </c>
      <c r="C17" s="43"/>
      <c r="D17" s="43"/>
      <c r="E17" s="50" t="s">
        <v>13</v>
      </c>
      <c r="F17" s="42">
        <f>34716.55+11605.04</f>
        <v>46321.590000000004</v>
      </c>
      <c r="G17" s="42">
        <f>F17</f>
        <v>46321.590000000004</v>
      </c>
      <c r="H17" s="45">
        <f>29214.4+19209.6</f>
        <v>48424</v>
      </c>
      <c r="I17" s="45">
        <f>H17</f>
        <v>48424</v>
      </c>
      <c r="J17" s="46">
        <f>36518+68611.25</f>
        <v>105129.25</v>
      </c>
      <c r="K17" s="46">
        <f>J17</f>
        <v>105129.25</v>
      </c>
      <c r="L17" s="45">
        <f>33397.23+16371.83+6798.88</f>
        <v>56567.94</v>
      </c>
      <c r="M17" s="45">
        <f>L17</f>
        <v>56567.94</v>
      </c>
      <c r="N17" s="42">
        <f>66541.46+49654.92</f>
        <v>116196.38</v>
      </c>
      <c r="O17" s="42">
        <f>N17</f>
        <v>116196.38</v>
      </c>
      <c r="P17" s="45">
        <f>31298+20532</f>
        <v>51830</v>
      </c>
      <c r="Q17" s="45">
        <f>P17</f>
        <v>51830</v>
      </c>
      <c r="R17" s="42">
        <f>29790.94+19209.47</f>
        <v>49000.41</v>
      </c>
      <c r="S17" s="46">
        <f>R17</f>
        <v>49000.41</v>
      </c>
      <c r="T17" s="46">
        <f>33886.1+21792.57</f>
        <v>55678.67</v>
      </c>
      <c r="U17" s="46">
        <f>T17</f>
        <v>55678.67</v>
      </c>
      <c r="V17" s="46">
        <f>24548.76+16039.63</f>
        <v>40588.39</v>
      </c>
      <c r="W17" s="46">
        <f>V17</f>
        <v>40588.39</v>
      </c>
      <c r="X17" s="46">
        <f>31953.23+20880</f>
        <v>52833.229999999996</v>
      </c>
      <c r="Y17" s="46">
        <f>X17</f>
        <v>52833.229999999996</v>
      </c>
      <c r="Z17" s="45">
        <f>58424.69+19836</f>
        <v>78260.69</v>
      </c>
      <c r="AA17" s="45">
        <f>Z17</f>
        <v>78260.69</v>
      </c>
      <c r="AB17" s="45">
        <v>0</v>
      </c>
      <c r="AC17" s="45">
        <v>0</v>
      </c>
      <c r="AD17" s="45">
        <v>15422.73</v>
      </c>
      <c r="AE17" s="45">
        <f>AD17</f>
        <v>15422.73</v>
      </c>
      <c r="AF17" s="46">
        <f>24925.45+31153.75+23803.98</f>
        <v>79883.179999999993</v>
      </c>
      <c r="AG17" s="46">
        <f>24925.45+23803.98</f>
        <v>48729.43</v>
      </c>
    </row>
    <row r="18" spans="1:33" ht="36" customHeight="1" x14ac:dyDescent="0.3">
      <c r="A18" s="42">
        <v>6</v>
      </c>
      <c r="B18" s="43" t="s">
        <v>12</v>
      </c>
      <c r="C18" s="43"/>
      <c r="D18" s="43"/>
      <c r="E18" s="50" t="s">
        <v>13</v>
      </c>
      <c r="F18" s="46">
        <f>32864+21576</f>
        <v>54440</v>
      </c>
      <c r="G18" s="46">
        <f>F18</f>
        <v>54440</v>
      </c>
      <c r="H18" s="45">
        <f>37933.45+20044.8+1493.25</f>
        <v>59471.5</v>
      </c>
      <c r="I18" s="45">
        <f>H18</f>
        <v>59471.5</v>
      </c>
      <c r="J18" s="46">
        <f>38084+25056</f>
        <v>63140</v>
      </c>
      <c r="K18" s="46">
        <f>J18</f>
        <v>63140</v>
      </c>
      <c r="L18" s="45">
        <f>24208.29+90496.13</f>
        <v>114704.42000000001</v>
      </c>
      <c r="M18" s="45">
        <f>L18</f>
        <v>114704.42000000001</v>
      </c>
      <c r="N18" s="42">
        <f>22263.03+8896.61+40009.45</f>
        <v>71169.09</v>
      </c>
      <c r="O18" s="42">
        <f>N18</f>
        <v>71169.09</v>
      </c>
      <c r="P18" s="45">
        <f>33386+21924</f>
        <v>55310</v>
      </c>
      <c r="Q18" s="45">
        <f>P18</f>
        <v>55310</v>
      </c>
      <c r="R18" s="46">
        <f>33386+21924</f>
        <v>55310</v>
      </c>
      <c r="S18" s="46">
        <f>R18</f>
        <v>55310</v>
      </c>
      <c r="T18" s="46">
        <f>50396.46+35057.76</f>
        <v>85454.22</v>
      </c>
      <c r="U18" s="46">
        <f>T18</f>
        <v>85454.22</v>
      </c>
      <c r="V18" s="46">
        <f>15236.02+9965.45</f>
        <v>25201.47</v>
      </c>
      <c r="W18" s="46">
        <f>V18</f>
        <v>25201.47</v>
      </c>
      <c r="X18" s="46">
        <f>46069.79+31835.88</f>
        <v>77905.67</v>
      </c>
      <c r="Y18" s="46">
        <f>X18</f>
        <v>77905.67</v>
      </c>
      <c r="Z18" s="45">
        <f>16759.62+10962</f>
        <v>27721.62</v>
      </c>
      <c r="AA18" s="45">
        <f>Z18</f>
        <v>27721.62</v>
      </c>
      <c r="AB18" s="45">
        <f>33519.23+21924</f>
        <v>55443.23</v>
      </c>
      <c r="AC18" s="45">
        <f>AB18</f>
        <v>55443.23</v>
      </c>
      <c r="AD18" s="45">
        <f>28301.76+5084.24</f>
        <v>33386</v>
      </c>
      <c r="AE18" s="45">
        <v>28301.759999999998</v>
      </c>
      <c r="AF18" s="46">
        <f>35679.47+50135.27-5084.24+37705.5</f>
        <v>118435.99999999999</v>
      </c>
      <c r="AG18" s="46">
        <f>35679.47+37705.5</f>
        <v>73384.97</v>
      </c>
    </row>
    <row r="19" spans="1:33" ht="36" customHeight="1" x14ac:dyDescent="0.3">
      <c r="A19" s="42">
        <v>7</v>
      </c>
      <c r="B19" s="43" t="s">
        <v>12</v>
      </c>
      <c r="C19" s="43"/>
      <c r="D19" s="43"/>
      <c r="E19" s="50" t="s">
        <v>13</v>
      </c>
      <c r="F19" s="46">
        <f>33851.12+26100+5498.88</f>
        <v>65450</v>
      </c>
      <c r="G19" s="42">
        <f>F19-5498.88</f>
        <v>59951.12</v>
      </c>
      <c r="H19" s="45">
        <f>27683.38+14703-5498.88</f>
        <v>36887.500000000007</v>
      </c>
      <c r="I19" s="45">
        <f>H19+5498.88</f>
        <v>42386.380000000005</v>
      </c>
      <c r="J19" s="46">
        <f>21714.34+5078.03+20505.28+420.85+7131.8+12708.57</f>
        <v>67558.87</v>
      </c>
      <c r="K19" s="46">
        <f>J19</f>
        <v>67558.87</v>
      </c>
      <c r="L19" s="45">
        <f>25232.89+31963.55</f>
        <v>57196.44</v>
      </c>
      <c r="M19" s="45">
        <f>L19</f>
        <v>57196.44</v>
      </c>
      <c r="N19" s="42">
        <f>39941.9+32737.93+7156.67</f>
        <v>79836.5</v>
      </c>
      <c r="O19" s="42">
        <f>N19</f>
        <v>79836.5</v>
      </c>
      <c r="P19" s="45">
        <f>31802.46+67559.58</f>
        <v>99362.040000000008</v>
      </c>
      <c r="Q19" s="45">
        <f>P19</f>
        <v>99362.040000000008</v>
      </c>
      <c r="R19" s="42">
        <f>25226.52+16719.13</f>
        <v>41945.65</v>
      </c>
      <c r="S19" s="46">
        <f>R19</f>
        <v>41945.65</v>
      </c>
      <c r="T19" s="46">
        <f>34361.7+22620</f>
        <v>56981.7</v>
      </c>
      <c r="U19" s="46">
        <f>T19</f>
        <v>56981.7</v>
      </c>
      <c r="V19" s="46">
        <f>34263.23+22620</f>
        <v>56883.23</v>
      </c>
      <c r="W19" s="46">
        <f>V19</f>
        <v>56883.23</v>
      </c>
      <c r="X19" s="46">
        <f>32787.18+23637.58</f>
        <v>56424.76</v>
      </c>
      <c r="Y19" s="46">
        <f>X19</f>
        <v>56424.76</v>
      </c>
      <c r="Z19" s="45">
        <f>39176.88+26528.45</f>
        <v>65705.33</v>
      </c>
      <c r="AA19" s="45">
        <f>Z19</f>
        <v>65705.33</v>
      </c>
      <c r="AB19" s="45">
        <f>32092.31+80388.73</f>
        <v>112481.04</v>
      </c>
      <c r="AC19" s="45">
        <f>AB19</f>
        <v>112481.04</v>
      </c>
      <c r="AD19" s="45">
        <f>21288.94+5084.24</f>
        <v>26373.18</v>
      </c>
      <c r="AE19" s="45">
        <v>21288.94</v>
      </c>
      <c r="AF19" s="46">
        <f>34919.59+47591.29-5084.24+34481.76</f>
        <v>111908.4</v>
      </c>
      <c r="AG19" s="46">
        <f>34919.59+34481.76</f>
        <v>69401.350000000006</v>
      </c>
    </row>
    <row r="20" spans="1:33" ht="28.8" customHeight="1" x14ac:dyDescent="0.3">
      <c r="A20" s="42">
        <v>8</v>
      </c>
      <c r="B20" s="43" t="s">
        <v>14</v>
      </c>
      <c r="C20" s="43"/>
      <c r="D20" s="43"/>
      <c r="E20" s="42"/>
      <c r="F20" s="42">
        <f>10811+41081.8</f>
        <v>51892.800000000003</v>
      </c>
      <c r="G20" s="42">
        <f>F20</f>
        <v>51892.800000000003</v>
      </c>
      <c r="H20" s="45">
        <f>10811+42162.9</f>
        <v>52973.9</v>
      </c>
      <c r="I20" s="45">
        <f>H20</f>
        <v>52973.9</v>
      </c>
      <c r="J20" s="46">
        <f>13093.02+88234.03</f>
        <v>101327.05</v>
      </c>
      <c r="K20" s="46">
        <f>J20</f>
        <v>101327.05</v>
      </c>
      <c r="L20" s="45">
        <f>10811+41081.8</f>
        <v>51892.800000000003</v>
      </c>
      <c r="M20" s="45">
        <f>L20</f>
        <v>51892.800000000003</v>
      </c>
      <c r="N20" s="42">
        <f>11122.97+40416.59</f>
        <v>51539.56</v>
      </c>
      <c r="O20" s="42">
        <f>N20</f>
        <v>51539.56</v>
      </c>
      <c r="P20" s="45">
        <f>10811+14054.3</f>
        <v>24865.3</v>
      </c>
      <c r="Q20" s="45">
        <f>P20</f>
        <v>24865.3</v>
      </c>
      <c r="R20" s="42">
        <f>10811+34595.2</f>
        <v>45406.2</v>
      </c>
      <c r="S20" s="42">
        <f>R20</f>
        <v>45406.2</v>
      </c>
      <c r="T20" s="42">
        <f>27626.09+10176.93</f>
        <v>37803.020000000004</v>
      </c>
      <c r="U20" s="42">
        <f>T20</f>
        <v>37803.020000000004</v>
      </c>
      <c r="V20" s="42">
        <f>35272.42+5948.8+3439.86</f>
        <v>44661.08</v>
      </c>
      <c r="W20" s="42">
        <f>V20</f>
        <v>44661.08</v>
      </c>
      <c r="X20" s="42">
        <f>43377.23+48056.41</f>
        <v>91433.640000000014</v>
      </c>
      <c r="Y20" s="42">
        <f>X20</f>
        <v>91433.640000000014</v>
      </c>
      <c r="Z20" s="45">
        <v>53107.13</v>
      </c>
      <c r="AA20" s="45">
        <f>Z20</f>
        <v>53107.13</v>
      </c>
      <c r="AB20" s="45">
        <v>46079.98</v>
      </c>
      <c r="AC20" s="45">
        <f>AB20</f>
        <v>46079.98</v>
      </c>
      <c r="AD20" s="45">
        <f>26222.61+7628.94</f>
        <v>33851.550000000003</v>
      </c>
      <c r="AE20" s="45">
        <v>26222.61</v>
      </c>
      <c r="AF20" s="46">
        <f>15784.55-7628.94-1552.95-1071+2623.95</f>
        <v>8155.61</v>
      </c>
      <c r="AG20" s="46">
        <v>13160.6</v>
      </c>
    </row>
    <row r="21" spans="1:33" ht="28.8" customHeight="1" x14ac:dyDescent="0.3">
      <c r="A21" s="43" t="s">
        <v>16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</row>
    <row r="22" spans="1:33" ht="39" customHeight="1" x14ac:dyDescent="0.3">
      <c r="A22" s="42">
        <v>9</v>
      </c>
      <c r="B22" s="43" t="s">
        <v>17</v>
      </c>
      <c r="C22" s="43"/>
      <c r="D22" s="43"/>
      <c r="E22" s="50" t="s">
        <v>18</v>
      </c>
      <c r="F22" s="46">
        <v>0</v>
      </c>
      <c r="G22" s="46">
        <v>0</v>
      </c>
      <c r="H22" s="45">
        <v>0</v>
      </c>
      <c r="I22" s="47">
        <v>0</v>
      </c>
      <c r="J22" s="46">
        <v>0</v>
      </c>
      <c r="K22" s="46">
        <v>0</v>
      </c>
      <c r="L22" s="45">
        <v>0</v>
      </c>
      <c r="M22" s="45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v>0</v>
      </c>
      <c r="V22" s="46">
        <f>5867.28+3834.76</f>
        <v>9702.0400000000009</v>
      </c>
      <c r="W22" s="46">
        <f>V22</f>
        <v>9702.0400000000009</v>
      </c>
      <c r="X22" s="46">
        <v>53361.23</v>
      </c>
      <c r="Y22" s="46">
        <f>X22</f>
        <v>53361.23</v>
      </c>
      <c r="Z22" s="45">
        <v>51779.39</v>
      </c>
      <c r="AA22" s="45">
        <f>Z22</f>
        <v>51779.39</v>
      </c>
      <c r="AB22" s="45">
        <v>105410.46</v>
      </c>
      <c r="AC22" s="45">
        <f>AB22</f>
        <v>105410.46</v>
      </c>
      <c r="AD22" s="45">
        <f>27052.56+5084.24</f>
        <v>32136.800000000003</v>
      </c>
      <c r="AE22" s="45">
        <v>27052.560000000001</v>
      </c>
      <c r="AF22" s="46">
        <f>36684.02+46363.58-5084.24+36366.72</f>
        <v>114330.08</v>
      </c>
      <c r="AG22" s="46">
        <f>36684.02+36366.72</f>
        <v>73050.739999999991</v>
      </c>
    </row>
    <row r="23" spans="1:33" ht="36" customHeight="1" x14ac:dyDescent="0.3">
      <c r="A23" s="42">
        <v>10</v>
      </c>
      <c r="B23" s="43" t="s">
        <v>12</v>
      </c>
      <c r="C23" s="43"/>
      <c r="D23" s="43"/>
      <c r="E23" s="50" t="s">
        <v>13</v>
      </c>
      <c r="F23" s="46">
        <f>26822+17748</f>
        <v>44570</v>
      </c>
      <c r="G23" s="42">
        <f>F23</f>
        <v>44570</v>
      </c>
      <c r="H23" s="45">
        <v>53270</v>
      </c>
      <c r="I23" s="45">
        <f>H23</f>
        <v>53270</v>
      </c>
      <c r="J23" s="45">
        <f>I23</f>
        <v>53270</v>
      </c>
      <c r="K23" s="45">
        <f>J23</f>
        <v>53270</v>
      </c>
      <c r="L23" s="45">
        <f>K23</f>
        <v>53270</v>
      </c>
      <c r="M23" s="45">
        <f>L23</f>
        <v>53270</v>
      </c>
      <c r="N23" s="51">
        <v>73550</v>
      </c>
      <c r="O23" s="42">
        <f>N23</f>
        <v>73550</v>
      </c>
      <c r="P23" s="45">
        <v>111948.53</v>
      </c>
      <c r="Q23" s="45">
        <f>P23</f>
        <v>111948.53</v>
      </c>
      <c r="R23" s="42">
        <v>29596.959999999999</v>
      </c>
      <c r="S23" s="46">
        <f>R23</f>
        <v>29596.959999999999</v>
      </c>
      <c r="T23" s="46">
        <v>45660.12</v>
      </c>
      <c r="U23" s="46">
        <f>T23</f>
        <v>45660.12</v>
      </c>
      <c r="V23" s="46">
        <v>43793.15</v>
      </c>
      <c r="W23" s="46">
        <f>V23</f>
        <v>43793.15</v>
      </c>
      <c r="X23" s="46">
        <v>0</v>
      </c>
      <c r="Y23" s="46">
        <v>0</v>
      </c>
      <c r="Z23" s="45">
        <f>11423.61+7514.65</f>
        <v>18938.260000000002</v>
      </c>
      <c r="AA23" s="45">
        <f>Z23</f>
        <v>18938.260000000002</v>
      </c>
      <c r="AB23" s="45">
        <f>15257.34+9986.09</f>
        <v>25243.43</v>
      </c>
      <c r="AC23" s="45">
        <f>AB23</f>
        <v>25243.43</v>
      </c>
      <c r="AD23" s="45">
        <v>18524.55</v>
      </c>
      <c r="AE23" s="45">
        <f>AD23</f>
        <v>18524.55</v>
      </c>
      <c r="AF23" s="46">
        <f>26500.54+36426.96+26932.5</f>
        <v>89860</v>
      </c>
      <c r="AG23" s="46">
        <f>26500.54+26932.5</f>
        <v>53433.04</v>
      </c>
    </row>
    <row r="24" spans="1:33" ht="36" customHeight="1" x14ac:dyDescent="0.3">
      <c r="A24" s="42">
        <v>11</v>
      </c>
      <c r="B24" s="43" t="s">
        <v>12</v>
      </c>
      <c r="C24" s="43"/>
      <c r="D24" s="43"/>
      <c r="E24" s="50" t="s">
        <v>13</v>
      </c>
      <c r="F24" s="42">
        <f>26298.01+49951.31+3851.55</f>
        <v>80100.87</v>
      </c>
      <c r="G24" s="42">
        <f>F24-3851.55</f>
        <v>76249.319999999992</v>
      </c>
      <c r="H24" s="45">
        <f>66140.05+55356-3851.55</f>
        <v>117644.5</v>
      </c>
      <c r="I24" s="45">
        <f>H24+3851.55</f>
        <v>121496.05</v>
      </c>
      <c r="J24" s="42">
        <f>29658.93-13148.45+37660.02-5477.16</f>
        <v>48693.34</v>
      </c>
      <c r="K24" s="42">
        <f>J24</f>
        <v>48693.34</v>
      </c>
      <c r="L24" s="45">
        <f>31520+61440</f>
        <v>92960</v>
      </c>
      <c r="M24" s="45">
        <f>L24</f>
        <v>92960</v>
      </c>
      <c r="N24" s="42">
        <f>38045+51437.5</f>
        <v>89482.5</v>
      </c>
      <c r="O24" s="42">
        <f>N24</f>
        <v>89482.5</v>
      </c>
      <c r="P24" s="45">
        <f>32378.16+66576.18</f>
        <v>98954.34</v>
      </c>
      <c r="Q24" s="45">
        <f>P24</f>
        <v>98954.34</v>
      </c>
      <c r="R24" s="42">
        <f>23683.22+38821.25</f>
        <v>62504.47</v>
      </c>
      <c r="S24" s="46">
        <f>R24</f>
        <v>62504.47</v>
      </c>
      <c r="T24" s="46">
        <f>30741.55+20217.15</f>
        <v>50958.7</v>
      </c>
      <c r="U24" s="46">
        <f>T24</f>
        <v>50958.7</v>
      </c>
      <c r="V24" s="46">
        <f>30284.63+23556.2</f>
        <v>53840.83</v>
      </c>
      <c r="W24" s="46">
        <f>V24</f>
        <v>53840.83</v>
      </c>
      <c r="X24" s="46">
        <f>32175.23+94912</f>
        <v>127087.23</v>
      </c>
      <c r="Y24" s="46">
        <f>X24</f>
        <v>127087.23</v>
      </c>
      <c r="Z24" s="45">
        <f>25980.29+8491.2</f>
        <v>34471.490000000005</v>
      </c>
      <c r="AA24" s="45">
        <f>Z24</f>
        <v>34471.490000000005</v>
      </c>
      <c r="AB24" s="45">
        <f>39441.97+23456.96+30533.14</f>
        <v>93432.07</v>
      </c>
      <c r="AC24" s="45">
        <f>AB24</f>
        <v>93432.07</v>
      </c>
      <c r="AD24" s="45">
        <f>24383.64</f>
        <v>24383.64</v>
      </c>
      <c r="AE24" s="45">
        <f>AD24</f>
        <v>24383.64</v>
      </c>
      <c r="AF24" s="46">
        <f>31292.04+30002.82+32214.22</f>
        <v>93509.08</v>
      </c>
      <c r="AG24" s="46">
        <f>31292.04+32214.22</f>
        <v>63506.26</v>
      </c>
    </row>
    <row r="25" spans="1:33" ht="25.8" customHeight="1" x14ac:dyDescent="0.3">
      <c r="A25" s="42">
        <v>12</v>
      </c>
      <c r="B25" s="43" t="s">
        <v>14</v>
      </c>
      <c r="C25" s="43"/>
      <c r="D25" s="43"/>
      <c r="E25" s="42"/>
      <c r="F25" s="42">
        <f>10340.96+20681.91</f>
        <v>31022.87</v>
      </c>
      <c r="G25" s="42">
        <f>F25</f>
        <v>31022.87</v>
      </c>
      <c r="H25" s="45">
        <f>10811+20540.9</f>
        <v>31351.9</v>
      </c>
      <c r="I25" s="52">
        <f>H25</f>
        <v>31351.9</v>
      </c>
      <c r="J25" s="42">
        <f>11071.71+55872.78</f>
        <v>66944.489999999991</v>
      </c>
      <c r="K25" s="42">
        <f>J25</f>
        <v>66944.489999999991</v>
      </c>
      <c r="L25" s="42">
        <f>10811+35135</f>
        <v>45946</v>
      </c>
      <c r="M25" s="45">
        <f>L25</f>
        <v>45946</v>
      </c>
      <c r="N25" s="42">
        <f>10811+35135.75</f>
        <v>45946.75</v>
      </c>
      <c r="O25" s="42">
        <f>N25</f>
        <v>45946.75</v>
      </c>
      <c r="P25" s="45">
        <f>14321.5+64312.17</f>
        <v>78633.67</v>
      </c>
      <c r="Q25" s="45">
        <f>P25</f>
        <v>78633.67</v>
      </c>
      <c r="R25" s="42">
        <f>6580.61+25664.37</f>
        <v>32244.98</v>
      </c>
      <c r="S25" s="42">
        <f>R25</f>
        <v>32244.98</v>
      </c>
      <c r="T25" s="42">
        <f>33728.43+5405.5</f>
        <v>39133.93</v>
      </c>
      <c r="U25" s="42">
        <f>T25</f>
        <v>39133.93</v>
      </c>
      <c r="V25" s="42">
        <f>46079.98+5405.5</f>
        <v>51485.48</v>
      </c>
      <c r="W25" s="42">
        <f>V25</f>
        <v>51485.48</v>
      </c>
      <c r="X25" s="42">
        <v>45539.43</v>
      </c>
      <c r="Y25" s="42">
        <f>X25</f>
        <v>45539.43</v>
      </c>
      <c r="Z25" s="42">
        <v>32566.23</v>
      </c>
      <c r="AA25" s="45">
        <f>Z25</f>
        <v>32566.23</v>
      </c>
      <c r="AB25" s="45">
        <f>20708.67+9526.35</f>
        <v>30235.019999999997</v>
      </c>
      <c r="AC25" s="45">
        <f>AB25</f>
        <v>30235.019999999997</v>
      </c>
      <c r="AD25" s="45">
        <f>18694.24+7620.71</f>
        <v>26314.95</v>
      </c>
      <c r="AE25" s="45">
        <v>18694.240000000002</v>
      </c>
      <c r="AF25" s="46">
        <f>42903.11-7620.7</f>
        <v>35282.410000000003</v>
      </c>
      <c r="AG25" s="46">
        <v>42903.11</v>
      </c>
    </row>
    <row r="26" spans="1:33" ht="25.8" customHeight="1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</row>
    <row r="27" spans="1:33" ht="39.6" customHeight="1" x14ac:dyDescent="0.3">
      <c r="A27" s="42">
        <v>13</v>
      </c>
      <c r="B27" s="43" t="s">
        <v>8</v>
      </c>
      <c r="C27" s="43"/>
      <c r="D27" s="43"/>
      <c r="E27" s="53" t="s">
        <v>4</v>
      </c>
      <c r="F27" s="42">
        <f>37215.64+5056.31+27816.21</f>
        <v>70088.160000000003</v>
      </c>
      <c r="G27" s="42">
        <f>70088.16-5056.31</f>
        <v>65031.850000000006</v>
      </c>
      <c r="H27" s="45">
        <v>70567.5</v>
      </c>
      <c r="I27" s="45">
        <f>H27+5056.31</f>
        <v>75623.81</v>
      </c>
      <c r="J27" s="45">
        <v>70567.5</v>
      </c>
      <c r="K27" s="45">
        <v>70567.5</v>
      </c>
      <c r="L27" s="45">
        <f>69295.36+0.75</f>
        <v>69296.11</v>
      </c>
      <c r="M27" s="45">
        <f>L27</f>
        <v>69296.11</v>
      </c>
      <c r="N27" s="42">
        <v>37122.18</v>
      </c>
      <c r="O27" s="42">
        <f>N27</f>
        <v>37122.18</v>
      </c>
      <c r="P27" s="45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5">
        <v>0</v>
      </c>
      <c r="AB27" s="45">
        <v>14013.75</v>
      </c>
      <c r="AC27" s="45">
        <f>AB27</f>
        <v>14013.75</v>
      </c>
      <c r="AD27" s="45">
        <f>33713.76+5084.24</f>
        <v>38798</v>
      </c>
      <c r="AE27" s="45">
        <v>33713.760000000002</v>
      </c>
      <c r="AF27" s="46">
        <f>49691.85+74743.59-5084.24+52384.8</f>
        <v>171736</v>
      </c>
      <c r="AG27" s="46">
        <f>49691.85+52384.8</f>
        <v>102076.65</v>
      </c>
    </row>
    <row r="28" spans="1:33" ht="21.6" customHeight="1" x14ac:dyDescent="0.3">
      <c r="A28" s="43" t="s">
        <v>19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</row>
    <row r="29" spans="1:33" ht="41.4" customHeight="1" x14ac:dyDescent="0.3">
      <c r="A29" s="42">
        <v>14</v>
      </c>
      <c r="B29" s="43" t="s">
        <v>20</v>
      </c>
      <c r="C29" s="43"/>
      <c r="D29" s="43"/>
      <c r="E29" s="50" t="s">
        <v>21</v>
      </c>
      <c r="F29" s="42">
        <v>42081.26</v>
      </c>
      <c r="G29" s="42">
        <f>42081.26-3210.09</f>
        <v>38871.17</v>
      </c>
      <c r="H29" s="42">
        <v>42081.26</v>
      </c>
      <c r="I29" s="42">
        <f>42081.26+3210.09</f>
        <v>45291.350000000006</v>
      </c>
      <c r="J29" s="42">
        <v>42081.26</v>
      </c>
      <c r="K29" s="42">
        <v>42081.26</v>
      </c>
      <c r="L29" s="45">
        <v>86429.94</v>
      </c>
      <c r="M29" s="45">
        <f>L29</f>
        <v>86429.94</v>
      </c>
      <c r="N29" s="42">
        <v>34987.83</v>
      </c>
      <c r="O29" s="42">
        <f>N29</f>
        <v>34987.83</v>
      </c>
      <c r="P29" s="45">
        <v>22399.62</v>
      </c>
      <c r="Q29" s="45">
        <f>P29</f>
        <v>22399.62</v>
      </c>
      <c r="R29" s="42">
        <v>63040.639999999999</v>
      </c>
      <c r="S29" s="46">
        <f>R29</f>
        <v>63040.639999999999</v>
      </c>
      <c r="T29" s="46">
        <v>42163.58</v>
      </c>
      <c r="U29" s="46">
        <f>T29</f>
        <v>42163.58</v>
      </c>
      <c r="V29" s="46">
        <v>86387.43</v>
      </c>
      <c r="W29" s="46">
        <f>V29</f>
        <v>86387.43</v>
      </c>
      <c r="X29" s="46">
        <v>43929.8</v>
      </c>
      <c r="Y29" s="46">
        <f>X29</f>
        <v>43929.8</v>
      </c>
      <c r="Z29" s="45">
        <v>42896.15</v>
      </c>
      <c r="AA29" s="45">
        <f>Z29</f>
        <v>42896.15</v>
      </c>
      <c r="AB29" s="45">
        <v>46304.45</v>
      </c>
      <c r="AC29" s="45">
        <f>AB29</f>
        <v>46304.45</v>
      </c>
      <c r="AD29" s="45">
        <v>21768</v>
      </c>
      <c r="AE29" s="45">
        <f>AD29</f>
        <v>21768</v>
      </c>
      <c r="AF29" s="46">
        <f>17669.37+25367.01+32054.91</f>
        <v>75091.289999999994</v>
      </c>
      <c r="AG29" s="46">
        <f>17669.37+32054.91</f>
        <v>49724.28</v>
      </c>
    </row>
    <row r="30" spans="1:33" s="10" customFormat="1" ht="36" customHeight="1" x14ac:dyDescent="0.3">
      <c r="A30" s="42">
        <v>15</v>
      </c>
      <c r="B30" s="43" t="s">
        <v>12</v>
      </c>
      <c r="C30" s="43"/>
      <c r="D30" s="43"/>
      <c r="E30" s="44" t="s">
        <v>22</v>
      </c>
      <c r="F30" s="42">
        <v>21723.56</v>
      </c>
      <c r="G30" s="48">
        <f>F30-1858.89</f>
        <v>19864.670000000002</v>
      </c>
      <c r="H30" s="45">
        <v>32395.3</v>
      </c>
      <c r="I30" s="45">
        <f>H30+1858.89</f>
        <v>34254.19</v>
      </c>
      <c r="J30" s="42">
        <v>31227.599999999999</v>
      </c>
      <c r="K30" s="42">
        <f>J30</f>
        <v>31227.599999999999</v>
      </c>
      <c r="L30" s="45">
        <v>49623.42</v>
      </c>
      <c r="M30" s="45">
        <f>L30</f>
        <v>49623.42</v>
      </c>
      <c r="N30" s="46">
        <v>0</v>
      </c>
      <c r="O30" s="47">
        <v>0</v>
      </c>
      <c r="P30" s="48">
        <f>4418.28+2945.42</f>
        <v>7363.7</v>
      </c>
      <c r="Q30" s="48">
        <f>P30</f>
        <v>7363.7</v>
      </c>
      <c r="R30" s="42">
        <f>18600.28+12370.8</f>
        <v>30971.079999999998</v>
      </c>
      <c r="S30" s="46">
        <f>R30</f>
        <v>30971.079999999998</v>
      </c>
      <c r="T30" s="46">
        <f>19023.6+12370.8</f>
        <v>31394.399999999998</v>
      </c>
      <c r="U30" s="46">
        <f>T30</f>
        <v>31394.399999999998</v>
      </c>
      <c r="V30" s="47">
        <f>4952.21+7231.26+4737.31</f>
        <v>16920.780000000002</v>
      </c>
      <c r="W30" s="47">
        <f>V30</f>
        <v>16920.780000000002</v>
      </c>
      <c r="X30" s="46">
        <v>27237.15</v>
      </c>
      <c r="Y30" s="46">
        <f>X30</f>
        <v>27237.15</v>
      </c>
      <c r="Z30" s="46">
        <v>27237.15</v>
      </c>
      <c r="AA30" s="46">
        <v>27237.15</v>
      </c>
      <c r="AB30" s="45">
        <v>28460.19</v>
      </c>
      <c r="AC30" s="45">
        <f>AB30</f>
        <v>28460.19</v>
      </c>
      <c r="AD30" s="45">
        <v>2811.64</v>
      </c>
      <c r="AE30" s="45">
        <f>AD30</f>
        <v>2811.64</v>
      </c>
      <c r="AF30" s="46">
        <f>11002.22+11285.68+14309.92</f>
        <v>36597.82</v>
      </c>
      <c r="AG30" s="46">
        <f>11002.22+14309.92</f>
        <v>25312.14</v>
      </c>
    </row>
    <row r="31" spans="1:33" ht="33" customHeight="1" x14ac:dyDescent="0.3">
      <c r="A31" s="42">
        <v>16</v>
      </c>
      <c r="B31" s="43" t="s">
        <v>12</v>
      </c>
      <c r="C31" s="43"/>
      <c r="D31" s="43"/>
      <c r="E31" s="50" t="s">
        <v>23</v>
      </c>
      <c r="F31" s="42">
        <v>35765.599999999999</v>
      </c>
      <c r="G31" s="42">
        <f>F31-2671.06</f>
        <v>33094.54</v>
      </c>
      <c r="H31" s="42">
        <v>35765.599999999999</v>
      </c>
      <c r="I31" s="42">
        <f>35765.6+2671.06</f>
        <v>38436.659999999996</v>
      </c>
      <c r="J31" s="42">
        <v>35701.65</v>
      </c>
      <c r="K31" s="42">
        <f>J31</f>
        <v>35701.65</v>
      </c>
      <c r="L31" s="45">
        <v>34139.9</v>
      </c>
      <c r="M31" s="45">
        <f>L31</f>
        <v>34139.9</v>
      </c>
      <c r="N31" s="42">
        <v>94864.9</v>
      </c>
      <c r="O31" s="42">
        <f>N31</f>
        <v>94864.9</v>
      </c>
      <c r="P31" s="42">
        <v>32895.660000000003</v>
      </c>
      <c r="Q31" s="42">
        <f>P31</f>
        <v>32895.660000000003</v>
      </c>
      <c r="R31" s="42">
        <v>36358.36</v>
      </c>
      <c r="S31" s="46">
        <f>R31</f>
        <v>36358.36</v>
      </c>
      <c r="T31" s="46">
        <v>36624.82</v>
      </c>
      <c r="U31" s="46">
        <f>T31</f>
        <v>36624.82</v>
      </c>
      <c r="V31" s="46">
        <v>75248.56</v>
      </c>
      <c r="W31" s="46">
        <f>V31</f>
        <v>75248.56</v>
      </c>
      <c r="X31" s="46">
        <v>38362.839999999997</v>
      </c>
      <c r="Y31" s="46">
        <f>X31</f>
        <v>38362.839999999997</v>
      </c>
      <c r="Z31" s="45">
        <v>36491.589999999997</v>
      </c>
      <c r="AA31" s="45">
        <v>36491.589999999997</v>
      </c>
      <c r="AB31" s="45">
        <v>36491.589999999997</v>
      </c>
      <c r="AC31" s="45">
        <v>36491.589999999997</v>
      </c>
      <c r="AD31" s="45">
        <v>18338.66</v>
      </c>
      <c r="AE31" s="45">
        <f>AD31</f>
        <v>18338.66</v>
      </c>
      <c r="AF31" s="46">
        <f>13491.57+15789.14+23342.42</f>
        <v>52623.13</v>
      </c>
      <c r="AG31" s="46">
        <f>13491.57+23342.42</f>
        <v>36833.99</v>
      </c>
    </row>
    <row r="32" spans="1:33" ht="29.4" customHeight="1" x14ac:dyDescent="0.3">
      <c r="A32" s="42">
        <v>17</v>
      </c>
      <c r="B32" s="43" t="s">
        <v>14</v>
      </c>
      <c r="C32" s="43"/>
      <c r="D32" s="43"/>
      <c r="E32" s="42"/>
      <c r="F32" s="42">
        <f>10811+41081.8</f>
        <v>51892.800000000003</v>
      </c>
      <c r="G32" s="42">
        <f>F32</f>
        <v>51892.800000000003</v>
      </c>
      <c r="H32" s="45">
        <f>14383.04+35838.46</f>
        <v>50221.5</v>
      </c>
      <c r="I32" s="45">
        <f>H32</f>
        <v>50221.5</v>
      </c>
      <c r="J32" s="42">
        <f>35045.56+93798.56</f>
        <v>128844.12</v>
      </c>
      <c r="K32" s="42">
        <f>J32</f>
        <v>128844.12</v>
      </c>
      <c r="L32" s="42">
        <f>5896.91+22408.25</f>
        <v>28305.16</v>
      </c>
      <c r="M32" s="45">
        <f>L32</f>
        <v>28305.16</v>
      </c>
      <c r="N32" s="42">
        <f>10811+41081.8</f>
        <v>51892.800000000003</v>
      </c>
      <c r="O32" s="42">
        <f>N32</f>
        <v>51892.800000000003</v>
      </c>
      <c r="P32" s="42">
        <f>11717.88+14437.4</f>
        <v>26155.279999999999</v>
      </c>
      <c r="Q32" s="42">
        <f>P32</f>
        <v>26155.279999999999</v>
      </c>
      <c r="R32" s="42">
        <f>9870.91+34548.2</f>
        <v>44419.11</v>
      </c>
      <c r="S32" s="42">
        <f>R32</f>
        <v>44419.11</v>
      </c>
      <c r="T32" s="42">
        <f>33768.97+5405.5</f>
        <v>39174.47</v>
      </c>
      <c r="U32" s="42">
        <f>T32</f>
        <v>39174.47</v>
      </c>
      <c r="V32" s="42">
        <f>29634.35+2457.05+3475.56+50</f>
        <v>35616.959999999999</v>
      </c>
      <c r="W32" s="42">
        <f>V32</f>
        <v>35616.959999999999</v>
      </c>
      <c r="X32" s="42">
        <f>46464.38+52553.83</f>
        <v>99018.209999999992</v>
      </c>
      <c r="Y32" s="42">
        <f>X32</f>
        <v>99018.209999999992</v>
      </c>
      <c r="Z32" s="45">
        <f>5176.41+1773.96</f>
        <v>6950.37</v>
      </c>
      <c r="AA32" s="45">
        <f>Z32</f>
        <v>6950.37</v>
      </c>
      <c r="AB32" s="45">
        <v>7085.41</v>
      </c>
      <c r="AC32" s="45">
        <f>AB32</f>
        <v>7085.41</v>
      </c>
      <c r="AD32" s="45">
        <f>20956.31+5084.23</f>
        <v>26040.54</v>
      </c>
      <c r="AE32" s="45">
        <v>20956.310000000001</v>
      </c>
      <c r="AF32" s="46">
        <f>34564.75-5084.23</f>
        <v>29480.52</v>
      </c>
      <c r="AG32" s="46">
        <f>AF32</f>
        <v>29480.52</v>
      </c>
    </row>
    <row r="33" spans="1:33" ht="29.4" customHeight="1" x14ac:dyDescent="0.3">
      <c r="A33" s="43" t="s">
        <v>24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</row>
    <row r="34" spans="1:33" ht="44.4" customHeight="1" x14ac:dyDescent="0.3">
      <c r="A34" s="42">
        <v>18</v>
      </c>
      <c r="B34" s="43" t="s">
        <v>43</v>
      </c>
      <c r="C34" s="43"/>
      <c r="D34" s="43"/>
      <c r="E34" s="50" t="s">
        <v>11</v>
      </c>
      <c r="F34" s="46">
        <v>0</v>
      </c>
      <c r="G34" s="46">
        <v>0</v>
      </c>
      <c r="H34" s="45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2">
        <f>3712.98+2446.44</f>
        <v>6159.42</v>
      </c>
      <c r="AA34" s="45">
        <f>Z34</f>
        <v>6159.42</v>
      </c>
      <c r="AB34" s="45">
        <f>37129.83+24464.4</f>
        <v>61594.23</v>
      </c>
      <c r="AC34" s="45">
        <f>AB34</f>
        <v>61594.23</v>
      </c>
      <c r="AD34" s="45">
        <f>32332.36+5084.24</f>
        <v>37416.6</v>
      </c>
      <c r="AE34" s="45">
        <v>32332.36</v>
      </c>
      <c r="AF34" s="46">
        <f>40206.01+55228.47+42182.28-5084.24</f>
        <v>132532.52000000002</v>
      </c>
      <c r="AG34" s="46">
        <f>40206.01+42182.28</f>
        <v>82388.290000000008</v>
      </c>
    </row>
    <row r="35" spans="1:33" ht="36" customHeight="1" x14ac:dyDescent="0.3">
      <c r="A35" s="42">
        <v>19</v>
      </c>
      <c r="B35" s="43" t="s">
        <v>12</v>
      </c>
      <c r="C35" s="43"/>
      <c r="D35" s="43"/>
      <c r="E35" s="50" t="s">
        <v>25</v>
      </c>
      <c r="F35" s="42">
        <f>23656.1+49880+3752.59</f>
        <v>77288.69</v>
      </c>
      <c r="G35" s="42">
        <f>F35-3752.59</f>
        <v>73536.100000000006</v>
      </c>
      <c r="H35" s="45">
        <f>35272.59+57362-3752.59</f>
        <v>88882</v>
      </c>
      <c r="I35" s="45">
        <f>H35+3752.59</f>
        <v>92634.59</v>
      </c>
      <c r="J35" s="46">
        <f>27767.41+3752.59+63800</f>
        <v>95320</v>
      </c>
      <c r="K35" s="46">
        <f>J35</f>
        <v>95320</v>
      </c>
      <c r="L35" s="45">
        <f>31520+63800</f>
        <v>95320</v>
      </c>
      <c r="M35" s="45">
        <f>L35</f>
        <v>95320</v>
      </c>
      <c r="N35" s="42">
        <f>32911.5+58421.92</f>
        <v>91333.42</v>
      </c>
      <c r="O35" s="42">
        <f>N35</f>
        <v>91333.42</v>
      </c>
      <c r="P35" s="45">
        <f>32300.64+69262.58</f>
        <v>101563.22</v>
      </c>
      <c r="Q35" s="45">
        <f>P35</f>
        <v>101563.22</v>
      </c>
      <c r="R35" s="42">
        <f>18110.68+42120.73</f>
        <v>60231.41</v>
      </c>
      <c r="S35" s="46">
        <f>R35</f>
        <v>60231.41</v>
      </c>
      <c r="T35" s="46">
        <f>32250.53+21228</f>
        <v>53478.53</v>
      </c>
      <c r="U35" s="46">
        <f>T35</f>
        <v>53478.53</v>
      </c>
      <c r="V35" s="46">
        <f>32175.23+21228</f>
        <v>53403.229999999996</v>
      </c>
      <c r="W35" s="46">
        <f>V35</f>
        <v>53403.229999999996</v>
      </c>
      <c r="X35" s="46">
        <f>29880.11+31147.92</f>
        <v>61028.03</v>
      </c>
      <c r="Y35" s="46">
        <f>X35</f>
        <v>61028.03</v>
      </c>
      <c r="Z35" s="42">
        <f>32175.23+21228</f>
        <v>53403.229999999996</v>
      </c>
      <c r="AA35" s="45">
        <f>Z35</f>
        <v>53403.229999999996</v>
      </c>
      <c r="AB35" s="45">
        <f>32175.23+91930.67</f>
        <v>124105.9</v>
      </c>
      <c r="AC35" s="45">
        <f>AB35</f>
        <v>124105.9</v>
      </c>
      <c r="AD35" s="45">
        <v>26822</v>
      </c>
      <c r="AE35" s="45">
        <f>AD35</f>
        <v>26822</v>
      </c>
      <c r="AF35" s="46">
        <f>27011.37+38137.13+30523.5</f>
        <v>95672</v>
      </c>
      <c r="AG35" s="46">
        <f>27011.37+30523.5</f>
        <v>57534.869999999995</v>
      </c>
    </row>
    <row r="36" spans="1:33" ht="36" customHeight="1" x14ac:dyDescent="0.3">
      <c r="A36" s="42">
        <v>20</v>
      </c>
      <c r="B36" s="43" t="s">
        <v>12</v>
      </c>
      <c r="C36" s="43"/>
      <c r="D36" s="43"/>
      <c r="E36" s="50" t="s">
        <v>25</v>
      </c>
      <c r="F36" s="42">
        <f>7943.48+5295.65</f>
        <v>13239.13</v>
      </c>
      <c r="G36" s="42">
        <f>F36</f>
        <v>13239.13</v>
      </c>
      <c r="H36" s="45">
        <f>20880+13920</f>
        <v>34800</v>
      </c>
      <c r="I36" s="45">
        <f>H36</f>
        <v>34800</v>
      </c>
      <c r="J36" s="46">
        <f>34263.79+20880</f>
        <v>55143.79</v>
      </c>
      <c r="K36" s="46">
        <f>J36</f>
        <v>55143.79</v>
      </c>
      <c r="L36" s="45">
        <f>31620+20880</f>
        <v>52500</v>
      </c>
      <c r="M36" s="45">
        <f>L36</f>
        <v>52500</v>
      </c>
      <c r="N36" s="42">
        <f>31620+20880</f>
        <v>52500</v>
      </c>
      <c r="O36" s="42">
        <f>N36</f>
        <v>52500</v>
      </c>
      <c r="P36" s="45">
        <f>26400+17400</f>
        <v>43800</v>
      </c>
      <c r="Q36" s="45">
        <f>P36</f>
        <v>43800</v>
      </c>
      <c r="R36" s="42">
        <f>26034+60939.76</f>
        <v>86973.760000000009</v>
      </c>
      <c r="S36" s="42">
        <f>R36</f>
        <v>86973.760000000009</v>
      </c>
      <c r="T36" s="42">
        <f>28821.51+18842.38</f>
        <v>47663.89</v>
      </c>
      <c r="U36" s="42">
        <f>T36</f>
        <v>47663.89</v>
      </c>
      <c r="V36" s="42">
        <f>39768.69+26024.56</f>
        <v>65793.25</v>
      </c>
      <c r="W36" s="42">
        <f>V36</f>
        <v>65793.25</v>
      </c>
      <c r="X36" s="42">
        <f>16472.27+10818.26</f>
        <v>27290.53</v>
      </c>
      <c r="Y36" s="42">
        <f>X36</f>
        <v>27290.53</v>
      </c>
      <c r="Z36" s="42">
        <f>29143.23+19140+0.9</f>
        <v>48284.13</v>
      </c>
      <c r="AA36" s="45">
        <f>Z36</f>
        <v>48284.13</v>
      </c>
      <c r="AB36" s="45">
        <f>32252.41+19140</f>
        <v>51392.41</v>
      </c>
      <c r="AC36" s="45">
        <f>AB36</f>
        <v>51392.41</v>
      </c>
      <c r="AD36" s="45">
        <f>27960.72</f>
        <v>27960.720000000001</v>
      </c>
      <c r="AE36" s="45">
        <f>AD36</f>
        <v>27960.720000000001</v>
      </c>
      <c r="AF36" s="46">
        <f>26185.86+35373.46+27585.41</f>
        <v>89144.73</v>
      </c>
      <c r="AG36" s="46">
        <f>26185.86+27585.41</f>
        <v>53771.270000000004</v>
      </c>
    </row>
    <row r="37" spans="1:33" ht="35.4" customHeight="1" x14ac:dyDescent="0.3">
      <c r="A37" s="42">
        <v>21</v>
      </c>
      <c r="B37" s="43" t="s">
        <v>14</v>
      </c>
      <c r="C37" s="43"/>
      <c r="D37" s="43"/>
      <c r="E37" s="42"/>
      <c r="F37" s="46">
        <v>0</v>
      </c>
      <c r="G37" s="46">
        <v>0</v>
      </c>
      <c r="H37" s="45">
        <f>9189.35+17459.76</f>
        <v>26649.11</v>
      </c>
      <c r="I37" s="45">
        <f>H37</f>
        <v>26649.11</v>
      </c>
      <c r="J37" s="46">
        <f>10811+41081.8</f>
        <v>51892.800000000003</v>
      </c>
      <c r="K37" s="46">
        <f>J37</f>
        <v>51892.800000000003</v>
      </c>
      <c r="L37" s="46">
        <f>10811+41081.8</f>
        <v>51892.800000000003</v>
      </c>
      <c r="M37" s="45">
        <f>L37</f>
        <v>51892.800000000003</v>
      </c>
      <c r="N37" s="46">
        <f>10811+41081.8</f>
        <v>51892.800000000003</v>
      </c>
      <c r="O37" s="46">
        <f>N37</f>
        <v>51892.800000000003</v>
      </c>
      <c r="P37" s="45">
        <f>10811+31351.9</f>
        <v>42162.9</v>
      </c>
      <c r="Q37" s="45">
        <f>P37</f>
        <v>42162.9</v>
      </c>
      <c r="R37" s="42">
        <f>9870.91+64771.31</f>
        <v>74642.22</v>
      </c>
      <c r="S37" s="42">
        <f>R37</f>
        <v>74642.22</v>
      </c>
      <c r="T37" s="42">
        <f>33768.97+5405.5</f>
        <v>39174.47</v>
      </c>
      <c r="U37" s="42">
        <f>T37</f>
        <v>39174.47</v>
      </c>
      <c r="V37" s="42">
        <f>24234.95+17190.7</f>
        <v>41425.65</v>
      </c>
      <c r="W37" s="42">
        <f>V37</f>
        <v>41425.65</v>
      </c>
      <c r="X37" s="42">
        <v>26045.21</v>
      </c>
      <c r="Y37" s="42">
        <f>X37</f>
        <v>26045.21</v>
      </c>
      <c r="Z37" s="42">
        <f>53107.13+40638.79</f>
        <v>93745.919999999998</v>
      </c>
      <c r="AA37" s="45">
        <f>Z37</f>
        <v>93745.919999999998</v>
      </c>
      <c r="AB37" s="45">
        <f>48944.68+4390.54</f>
        <v>53335.22</v>
      </c>
      <c r="AC37" s="45">
        <f>AB37</f>
        <v>53335.22</v>
      </c>
      <c r="AD37" s="45">
        <f>21230.72+5084.23</f>
        <v>26314.95</v>
      </c>
      <c r="AE37" s="45">
        <v>21230.720000000001</v>
      </c>
      <c r="AF37" s="46">
        <f>63988.34-5084.23</f>
        <v>58904.11</v>
      </c>
      <c r="AG37" s="46">
        <f>AF37</f>
        <v>58904.11</v>
      </c>
    </row>
    <row r="38" spans="1:33" ht="27" customHeight="1" x14ac:dyDescent="0.3">
      <c r="A38" s="42">
        <v>22</v>
      </c>
      <c r="B38" s="43" t="s">
        <v>14</v>
      </c>
      <c r="C38" s="43"/>
      <c r="D38" s="43"/>
      <c r="E38" s="42"/>
      <c r="F38" s="42">
        <f>8727.89+20676.69</f>
        <v>29404.579999999998</v>
      </c>
      <c r="G38" s="42">
        <f>F38</f>
        <v>29404.579999999998</v>
      </c>
      <c r="H38" s="45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5">
        <f>2574.05+2574.04</f>
        <v>5148.09</v>
      </c>
      <c r="Q38" s="45">
        <f>P38</f>
        <v>5148.09</v>
      </c>
      <c r="R38" s="42">
        <f>10811+31351.9</f>
        <v>42162.9</v>
      </c>
      <c r="S38" s="42">
        <f>R38</f>
        <v>42162.9</v>
      </c>
      <c r="T38" s="42">
        <f>33780.56+5405.5</f>
        <v>39186.06</v>
      </c>
      <c r="U38" s="42">
        <f>T38</f>
        <v>39186.06</v>
      </c>
      <c r="V38" s="42">
        <f>46079.98+5405.5</f>
        <v>51485.48</v>
      </c>
      <c r="W38" s="42">
        <f>V38</f>
        <v>51485.48</v>
      </c>
      <c r="X38" s="42">
        <v>43377.23</v>
      </c>
      <c r="Y38" s="42">
        <f>X38</f>
        <v>43377.23</v>
      </c>
      <c r="Z38" s="42">
        <f>46079.98+43063.04</f>
        <v>89143.02</v>
      </c>
      <c r="AA38" s="45">
        <f>Z38</f>
        <v>89143.02</v>
      </c>
      <c r="AB38" s="45">
        <f>43377.23</f>
        <v>43377.23</v>
      </c>
      <c r="AC38" s="45">
        <f>43377.23</f>
        <v>43377.23</v>
      </c>
      <c r="AD38" s="52">
        <f>15651.38+21718.5</f>
        <v>37369.879999999997</v>
      </c>
      <c r="AE38" s="52">
        <f>AD38</f>
        <v>37369.879999999997</v>
      </c>
      <c r="AF38" s="46">
        <v>26773.26</v>
      </c>
      <c r="AG38" s="46">
        <f>AF38</f>
        <v>26773.26</v>
      </c>
    </row>
    <row r="39" spans="1:33" ht="30.6" customHeight="1" x14ac:dyDescent="0.3">
      <c r="A39" s="3"/>
      <c r="B39" s="13" t="s">
        <v>15</v>
      </c>
      <c r="C39" s="13"/>
      <c r="D39" s="13"/>
      <c r="E39" s="4"/>
      <c r="F39" s="9">
        <f>SUM(F11:F38)</f>
        <v>924433.6100000001</v>
      </c>
      <c r="G39" s="9">
        <f t="shared" ref="G39:AG39" si="0">SUM(G11:G38)</f>
        <v>888018.3</v>
      </c>
      <c r="H39" s="26">
        <f t="shared" si="0"/>
        <v>916842</v>
      </c>
      <c r="I39" s="9">
        <f t="shared" si="0"/>
        <v>953257.30999999994</v>
      </c>
      <c r="J39" s="21">
        <f t="shared" si="0"/>
        <v>1149686.8400000001</v>
      </c>
      <c r="K39" s="9">
        <f t="shared" si="0"/>
        <v>1149686.8400000001</v>
      </c>
      <c r="L39" s="9">
        <f t="shared" si="0"/>
        <v>1092441.6100000001</v>
      </c>
      <c r="M39" s="9">
        <f t="shared" si="0"/>
        <v>1092441.6100000001</v>
      </c>
      <c r="N39" s="21">
        <f t="shared" si="0"/>
        <v>1210971.8700000001</v>
      </c>
      <c r="O39" s="9">
        <f t="shared" si="0"/>
        <v>1210971.8700000001</v>
      </c>
      <c r="P39" s="21">
        <f t="shared" si="0"/>
        <v>1076999.67</v>
      </c>
      <c r="Q39" s="9">
        <f t="shared" si="0"/>
        <v>1076999.67</v>
      </c>
      <c r="R39" s="21">
        <f t="shared" si="0"/>
        <v>1056995.78</v>
      </c>
      <c r="S39" s="9">
        <f t="shared" si="0"/>
        <v>1056995.78</v>
      </c>
      <c r="T39" s="9">
        <f t="shared" si="0"/>
        <v>1027347.8299999998</v>
      </c>
      <c r="U39" s="9">
        <f t="shared" si="0"/>
        <v>1027347.8299999998</v>
      </c>
      <c r="V39" s="21">
        <f t="shared" si="0"/>
        <v>1139117.4899999998</v>
      </c>
      <c r="W39" s="9">
        <f t="shared" si="0"/>
        <v>1139117.4899999998</v>
      </c>
      <c r="X39" s="9">
        <f t="shared" si="0"/>
        <v>1207508.2200000002</v>
      </c>
      <c r="Y39" s="9">
        <f t="shared" si="0"/>
        <v>1207508.2200000002</v>
      </c>
      <c r="Z39" s="9">
        <f t="shared" si="0"/>
        <v>1193618.4200000002</v>
      </c>
      <c r="AA39" s="9">
        <f t="shared" si="0"/>
        <v>1193618.4200000002</v>
      </c>
      <c r="AB39" s="9">
        <f t="shared" si="0"/>
        <v>1285133.1699999997</v>
      </c>
      <c r="AC39" s="9">
        <f t="shared" si="0"/>
        <v>1285133.1699999997</v>
      </c>
      <c r="AD39" s="9">
        <f t="shared" si="0"/>
        <v>618001.0199999999</v>
      </c>
      <c r="AE39" s="9">
        <f t="shared" si="0"/>
        <v>551905.82999999996</v>
      </c>
      <c r="AF39" s="21">
        <f t="shared" si="0"/>
        <v>1920051.79</v>
      </c>
      <c r="AG39" s="9">
        <f t="shared" si="0"/>
        <v>1292009.94</v>
      </c>
    </row>
    <row r="40" spans="1:33" ht="157.80000000000001" customHeight="1" x14ac:dyDescent="0.3">
      <c r="A40" s="14"/>
      <c r="B40" s="14"/>
      <c r="C40" s="14"/>
      <c r="D40" s="14"/>
      <c r="E40" s="14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</row>
    <row r="42" spans="1:33" ht="18.600000000000001" customHeight="1" x14ac:dyDescent="0.3">
      <c r="B42" s="5"/>
      <c r="C42" s="5"/>
      <c r="D42" s="5"/>
      <c r="E42" s="5"/>
      <c r="F42" s="5"/>
      <c r="G42" s="5"/>
      <c r="H42" s="24"/>
      <c r="I42" s="5"/>
      <c r="J42" s="24"/>
      <c r="K42" s="5"/>
      <c r="L42" s="5"/>
    </row>
    <row r="43" spans="1:33" s="35" customFormat="1" ht="39" customHeight="1" x14ac:dyDescent="0.3">
      <c r="A43" s="29"/>
      <c r="B43" s="29"/>
      <c r="C43" s="29"/>
      <c r="D43" s="29"/>
      <c r="E43" s="29"/>
      <c r="F43" s="29"/>
      <c r="G43" s="29"/>
      <c r="H43" s="30"/>
      <c r="I43" s="31"/>
      <c r="J43" s="30"/>
      <c r="K43" s="32"/>
      <c r="L43" s="32"/>
      <c r="M43" s="33"/>
      <c r="N43" s="33"/>
      <c r="O43" s="33"/>
      <c r="P43" s="33"/>
      <c r="Q43" s="34"/>
      <c r="R43" s="34"/>
      <c r="S43" s="34"/>
      <c r="T43" s="34"/>
      <c r="U43" s="34"/>
      <c r="V43" s="34"/>
      <c r="W43" s="34"/>
      <c r="X43" s="34"/>
      <c r="Y43" s="34"/>
      <c r="Z43" s="34"/>
      <c r="AF43" s="36"/>
    </row>
    <row r="44" spans="1:33" s="35" customFormat="1" ht="13.2" customHeight="1" x14ac:dyDescent="0.3">
      <c r="H44" s="36"/>
      <c r="J44" s="36"/>
      <c r="N44" s="36"/>
      <c r="P44" s="36"/>
      <c r="R44" s="36"/>
      <c r="V44" s="36"/>
      <c r="AF44" s="36"/>
    </row>
    <row r="45" spans="1:33" s="35" customFormat="1" ht="63.6" customHeight="1" x14ac:dyDescent="0.3">
      <c r="A45" s="37"/>
      <c r="B45" s="37"/>
      <c r="C45" s="37"/>
      <c r="D45" s="37"/>
      <c r="E45" s="37"/>
      <c r="F45" s="37"/>
      <c r="G45" s="37"/>
      <c r="H45" s="38"/>
      <c r="I45" s="32"/>
      <c r="J45" s="38"/>
      <c r="K45" s="32"/>
      <c r="L45" s="32"/>
      <c r="M45" s="33"/>
      <c r="N45" s="33"/>
      <c r="O45" s="33"/>
      <c r="P45" s="33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40"/>
      <c r="AB45" s="40"/>
      <c r="AC45" s="40"/>
      <c r="AD45" s="40"/>
      <c r="AE45" s="40"/>
      <c r="AF45" s="41"/>
    </row>
    <row r="46" spans="1:33" x14ac:dyDescent="0.3">
      <c r="G46" s="6"/>
      <c r="H46" s="25"/>
      <c r="I46" s="7"/>
      <c r="J46" s="27"/>
      <c r="K46" s="7"/>
      <c r="L46" s="7"/>
      <c r="M46" s="8"/>
    </row>
  </sheetData>
  <mergeCells count="58">
    <mergeCell ref="P6:Q8"/>
    <mergeCell ref="A3:AG3"/>
    <mergeCell ref="A4:AG4"/>
    <mergeCell ref="B11:D11"/>
    <mergeCell ref="AB6:AC8"/>
    <mergeCell ref="AD6:AE8"/>
    <mergeCell ref="B14:D14"/>
    <mergeCell ref="B10:D10"/>
    <mergeCell ref="L6:M8"/>
    <mergeCell ref="B34:D34"/>
    <mergeCell ref="A15:AG15"/>
    <mergeCell ref="A21:AG21"/>
    <mergeCell ref="A26:AG26"/>
    <mergeCell ref="B22:D22"/>
    <mergeCell ref="B23:D23"/>
    <mergeCell ref="B24:D24"/>
    <mergeCell ref="B25:D25"/>
    <mergeCell ref="B16:D16"/>
    <mergeCell ref="B17:D17"/>
    <mergeCell ref="B18:D18"/>
    <mergeCell ref="B19:D19"/>
    <mergeCell ref="N6:O8"/>
    <mergeCell ref="B35:D35"/>
    <mergeCell ref="B27:D27"/>
    <mergeCell ref="B29:D29"/>
    <mergeCell ref="B30:D30"/>
    <mergeCell ref="B31:D31"/>
    <mergeCell ref="A28:AG28"/>
    <mergeCell ref="A33:AG33"/>
    <mergeCell ref="B32:D32"/>
    <mergeCell ref="B36:D36"/>
    <mergeCell ref="B37:D37"/>
    <mergeCell ref="B38:D38"/>
    <mergeCell ref="B39:D39"/>
    <mergeCell ref="A45:G45"/>
    <mergeCell ref="M45:P45"/>
    <mergeCell ref="Q45:Z45"/>
    <mergeCell ref="A40:AG40"/>
    <mergeCell ref="A41:AG41"/>
    <mergeCell ref="A43:G43"/>
    <mergeCell ref="M43:P43"/>
    <mergeCell ref="Q43:Z43"/>
    <mergeCell ref="B20:D20"/>
    <mergeCell ref="F2:AE2"/>
    <mergeCell ref="A13:AG13"/>
    <mergeCell ref="R6:S8"/>
    <mergeCell ref="Z6:AA8"/>
    <mergeCell ref="AF6:AG8"/>
    <mergeCell ref="X6:Y8"/>
    <mergeCell ref="T6:U8"/>
    <mergeCell ref="V6:W8"/>
    <mergeCell ref="A6:A9"/>
    <mergeCell ref="B6:D9"/>
    <mergeCell ref="E6:E9"/>
    <mergeCell ref="F6:G8"/>
    <mergeCell ref="H6:I8"/>
    <mergeCell ref="J6:K8"/>
    <mergeCell ref="B12:D12"/>
  </mergeCells>
  <pageMargins left="0.23622047244094491" right="0.23622047244094491" top="0.74803149606299213" bottom="0.74803149606299213" header="0.31496062992125984" footer="0.31496062992125984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дані по зарплаті 2025-2026</vt:lpstr>
      <vt:lpstr>Sheet1</vt:lpstr>
      <vt:lpstr>'дані по зарплаті 2025-2026'!Область_друку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Admin</dc:creator>
  <cp:lastModifiedBy>Ольга О. ПРОЦЕНКО</cp:lastModifiedBy>
  <dcterms:created xsi:type="dcterms:W3CDTF">2015-06-05T18:17:20Z</dcterms:created>
  <dcterms:modified xsi:type="dcterms:W3CDTF">2026-03-17T11:05:45Z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137edf4-57c1-4905-bbd0-a54792bce424_Enabled">
    <vt:lpwstr>true</vt:lpwstr>
  </property>
  <property fmtid="{D5CDD505-2E9C-101B-9397-08002B2CF9AE}" pid="3" name="MSIP_Label_6137edf4-57c1-4905-bbd0-a54792bce424_SetDate">
    <vt:lpwstr>2026-03-16T12:35:03Z</vt:lpwstr>
  </property>
  <property fmtid="{D5CDD505-2E9C-101B-9397-08002B2CF9AE}" pid="4" name="MSIP_Label_6137edf4-57c1-4905-bbd0-a54792bce424_Method">
    <vt:lpwstr>Standard</vt:lpwstr>
  </property>
  <property fmtid="{D5CDD505-2E9C-101B-9397-08002B2CF9AE}" pid="5" name="MSIP_Label_6137edf4-57c1-4905-bbd0-a54792bce424_Name">
    <vt:lpwstr>defa4170-0d19-0005-0004-bc88714345d2</vt:lpwstr>
  </property>
  <property fmtid="{D5CDD505-2E9C-101B-9397-08002B2CF9AE}" pid="6" name="MSIP_Label_6137edf4-57c1-4905-bbd0-a54792bce424_SiteId">
    <vt:lpwstr>c3285baa-5e1e-4886-a250-4969f8331095</vt:lpwstr>
  </property>
  <property fmtid="{D5CDD505-2E9C-101B-9397-08002B2CF9AE}" pid="7" name="MSIP_Label_6137edf4-57c1-4905-bbd0-a54792bce424_ActionId">
    <vt:lpwstr>b94c79c2-2174-4e8b-8597-6b7c5c8610a4</vt:lpwstr>
  </property>
  <property fmtid="{D5CDD505-2E9C-101B-9397-08002B2CF9AE}" pid="8" name="MSIP_Label_6137edf4-57c1-4905-bbd0-a54792bce424_ContentBits">
    <vt:lpwstr>0</vt:lpwstr>
  </property>
  <property fmtid="{D5CDD505-2E9C-101B-9397-08002B2CF9AE}" pid="9" name="MSIP_Label_6137edf4-57c1-4905-bbd0-a54792bce424_Tag">
    <vt:lpwstr>10, 3, 0, 1</vt:lpwstr>
  </property>
</Properties>
</file>