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sdkh\OneDrive\Рабочий стол\"/>
    </mc:Choice>
  </mc:AlternateContent>
  <bookViews>
    <workbookView xWindow="0" yWindow="0" windowWidth="2370" windowHeight="0"/>
  </bookViews>
  <sheets>
    <sheet name="ВІДПОВІДЬ НА ЗАПИТ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8" i="1" l="1"/>
  <c r="AD18" i="1"/>
  <c r="AC18" i="1"/>
  <c r="AB18" i="1"/>
  <c r="AE16" i="1"/>
  <c r="AD16" i="1"/>
  <c r="AC16" i="1"/>
  <c r="AE15" i="1"/>
  <c r="AD15" i="1"/>
  <c r="AC15" i="1"/>
  <c r="AE14" i="1"/>
  <c r="AD14" i="1"/>
  <c r="AC14" i="1"/>
  <c r="AB14" i="1"/>
  <c r="AE13" i="1"/>
  <c r="AD13" i="1"/>
  <c r="AC13" i="1"/>
  <c r="AE12" i="1"/>
  <c r="AD12" i="1"/>
  <c r="AC12" i="1"/>
  <c r="AE11" i="1"/>
  <c r="AD11" i="1"/>
  <c r="AC11" i="1"/>
  <c r="AE10" i="1"/>
  <c r="AD10" i="1"/>
  <c r="AC10" i="1"/>
  <c r="AE9" i="1"/>
  <c r="AD9" i="1"/>
  <c r="AC9" i="1"/>
  <c r="AE8" i="1"/>
  <c r="AD8" i="1"/>
  <c r="AC8" i="1"/>
  <c r="AE7" i="1"/>
  <c r="AD7" i="1"/>
  <c r="AC7" i="1"/>
  <c r="AE6" i="1"/>
  <c r="AD6" i="1"/>
  <c r="AC6" i="1"/>
  <c r="AB6" i="1"/>
  <c r="AA7" i="1"/>
  <c r="F18" i="1"/>
  <c r="E18" i="1"/>
  <c r="D18" i="1"/>
  <c r="AA18" i="1"/>
  <c r="Z18" i="1"/>
  <c r="Y18" i="1"/>
  <c r="X18" i="1"/>
  <c r="W18" i="1"/>
  <c r="V18" i="1"/>
  <c r="U18" i="1"/>
  <c r="T18" i="1"/>
  <c r="S18" i="1"/>
  <c r="R18" i="1"/>
  <c r="Q18" i="1"/>
  <c r="P18" i="1"/>
  <c r="M18" i="1"/>
  <c r="L18" i="1"/>
  <c r="K18" i="1"/>
  <c r="J18" i="1"/>
  <c r="I18" i="1"/>
  <c r="H18" i="1"/>
  <c r="G18" i="1"/>
  <c r="O18" i="1"/>
  <c r="N18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4" i="1"/>
  <c r="G15" i="1"/>
  <c r="F15" i="1"/>
  <c r="E15" i="1"/>
  <c r="D15" i="1"/>
  <c r="W14" i="1"/>
  <c r="X14" i="1"/>
  <c r="Y14" i="1"/>
  <c r="AA14" i="1"/>
  <c r="Z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F14" i="1"/>
  <c r="E14" i="1"/>
  <c r="D14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Y11" i="1"/>
  <c r="AA11" i="1"/>
  <c r="Z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AA9" i="1"/>
  <c r="Z9" i="1"/>
  <c r="Y9" i="1"/>
  <c r="X9" i="1"/>
  <c r="W9" i="1"/>
  <c r="V9" i="1"/>
  <c r="U9" i="1"/>
  <c r="T9" i="1"/>
  <c r="S9" i="1"/>
  <c r="R9" i="1"/>
  <c r="R8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AA8" i="1"/>
  <c r="Z8" i="1"/>
  <c r="Y8" i="1"/>
  <c r="X8" i="1"/>
  <c r="W8" i="1"/>
  <c r="V8" i="1"/>
  <c r="U8" i="1"/>
  <c r="T8" i="1"/>
  <c r="S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M7" i="1"/>
  <c r="L7" i="1"/>
  <c r="K7" i="1"/>
  <c r="J7" i="1"/>
  <c r="I7" i="1"/>
  <c r="H7" i="1"/>
  <c r="G7" i="1"/>
  <c r="F7" i="1"/>
  <c r="E7" i="1"/>
  <c r="D7" i="1"/>
  <c r="Z7" i="1"/>
  <c r="Y7" i="1"/>
  <c r="X7" i="1"/>
  <c r="W7" i="1"/>
  <c r="V7" i="1"/>
  <c r="G6" i="1"/>
  <c r="F6" i="1"/>
  <c r="E6" i="1"/>
  <c r="D6" i="1"/>
  <c r="AA6" i="1"/>
  <c r="Z6" i="1"/>
  <c r="Y6" i="1"/>
  <c r="X6" i="1"/>
  <c r="W6" i="1"/>
  <c r="V6" i="1"/>
</calcChain>
</file>

<file path=xl/sharedStrings.xml><?xml version="1.0" encoding="utf-8"?>
<sst xmlns="http://schemas.openxmlformats.org/spreadsheetml/2006/main" count="71" uniqueCount="31">
  <si>
    <t>за період з 01 січня 2025 року по 28 лютого 2026 року</t>
  </si>
  <si>
    <t>№з/п</t>
  </si>
  <si>
    <t>Посада</t>
  </si>
  <si>
    <t>Класифікаційний код посади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</si>
  <si>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</si>
  <si>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</si>
  <si>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</si>
  <si>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</si>
  <si>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</si>
  <si>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</si>
  <si>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</si>
  <si>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</si>
  <si>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</si>
  <si>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</si>
  <si>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</si>
  <si>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</si>
  <si>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нараховано</t>
  </si>
  <si>
    <t>отримано</t>
  </si>
  <si>
    <t>1-II-2</t>
  </si>
  <si>
    <t>4-VII-2</t>
  </si>
  <si>
    <t>9-VII-2</t>
  </si>
  <si>
    <t>24-VII-2</t>
  </si>
  <si>
    <t>РАЗОМ</t>
  </si>
  <si>
    <t xml:space="preserve"> </t>
  </si>
  <si>
    <t>Нарахована та виплачена заробітна плата працівників Служби у справах дітей  Харківської обласної державної (військової) адміністрації</t>
  </si>
  <si>
    <t>Начальник служби у справах дітей</t>
  </si>
  <si>
    <t>Головний спеціаліст-бухгалтер</t>
  </si>
  <si>
    <t>Головний спеціаліст</t>
  </si>
  <si>
    <t>Начальник відділу розвитку сімейних форм виховання</t>
  </si>
  <si>
    <t>9-V-2</t>
  </si>
  <si>
    <t>Заступник начальника служби у справах дітей - начальник відділу захисту прав дітей та усиновлення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</si>
</sst>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6">
    <xf numFmtId="0" fontId="0" fillId="0" borderId="0" xfId="0"/>
    <xf numFmtId="0" fontId="19" fillId="0" borderId="15" xfId="0" applyFont="1" applyBorder="1"/>
    <xf numFmtId="0" fontId="19" fillId="0" borderId="10" xfId="0" applyFont="1" applyBorder="1"/>
    <xf numFmtId="0" fontId="19" fillId="0" borderId="16" xfId="0" applyFont="1" applyBorder="1"/>
    <xf numFmtId="0" fontId="21" fillId="0" borderId="15" xfId="0" applyFont="1" applyBorder="1"/>
    <xf numFmtId="4" fontId="21" fillId="0" borderId="15" xfId="0" applyNumberFormat="1" applyFont="1" applyBorder="1"/>
    <xf numFmtId="0" fontId="21" fillId="0" borderId="0" xfId="0" applyFont="1"/>
    <xf numFmtId="4" fontId="21" fillId="0" borderId="0" xfId="0" applyNumberFormat="1" applyFont="1"/>
    <xf numFmtId="0" fontId="18" fillId="0" borderId="0" xfId="0" applyFont="1"/>
    <xf numFmtId="0" fontId="18" fillId="0" borderId="0" xfId="0" applyFont="1" applyAlignment="1">
      <alignment horizontal="center" wrapText="1"/>
    </xf>
    <xf numFmtId="0" fontId="18" fillId="0" borderId="10" xfId="0" applyFont="1" applyBorder="1" applyAlignment="1">
      <alignment horizontal="center"/>
    </xf>
    <xf numFmtId="0" fontId="19" fillId="0" borderId="21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20" fillId="0" borderId="21" xfId="0" applyFont="1" applyBorder="1" applyAlignment="1">
      <alignment horizontal="center" wrapText="1"/>
    </xf>
    <xf numFmtId="0" fontId="20" fillId="0" borderId="12" xfId="0" applyFont="1" applyBorder="1" applyAlignment="1">
      <alignment horizontal="center" wrapText="1"/>
    </xf>
    <xf numFmtId="0" fontId="20" fillId="0" borderId="11" xfId="0" applyFont="1" applyBorder="1" applyAlignment="1">
      <alignment horizontal="center" wrapText="1"/>
    </xf>
    <xf numFmtId="0" fontId="19" fillId="0" borderId="22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9" fillId="0" borderId="23" xfId="0" applyFont="1" applyBorder="1" applyAlignment="1">
      <alignment horizontal="center"/>
    </xf>
    <xf numFmtId="0" fontId="21" fillId="0" borderId="17" xfId="0" applyFont="1" applyBorder="1" applyAlignment="1">
      <alignment horizontal="center"/>
    </xf>
    <xf numFmtId="0" fontId="21" fillId="0" borderId="18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20" xfId="0" applyFont="1" applyBorder="1" applyAlignment="1">
      <alignment horizontal="center"/>
    </xf>
    <xf numFmtId="0" fontId="21" fillId="33" borderId="16" xfId="0" applyFont="1" applyFill="1" applyBorder="1"/>
    <xf numFmtId="0" fontId="21" fillId="33" borderId="15" xfId="0" applyFont="1" applyFill="1" applyBorder="1"/>
    <xf numFmtId="0" fontId="22" fillId="33" borderId="15" xfId="0" applyFont="1" applyFill="1" applyBorder="1"/>
    <xf numFmtId="4" fontId="21" fillId="33" borderId="15" xfId="0" applyNumberFormat="1" applyFont="1" applyFill="1" applyBorder="1"/>
    <xf numFmtId="4" fontId="21" fillId="33" borderId="10" xfId="0" applyNumberFormat="1" applyFont="1" applyFill="1" applyBorder="1"/>
    <xf numFmtId="4" fontId="21" fillId="33" borderId="16" xfId="0" applyNumberFormat="1" applyFont="1" applyFill="1" applyBorder="1"/>
    <xf numFmtId="0" fontId="0" fillId="33" borderId="0" xfId="0" applyFill="1"/>
    <xf numFmtId="0" fontId="21" fillId="33" borderId="15" xfId="0" applyFont="1" applyFill="1" applyBorder="1" applyAlignment="1">
      <alignment wrapText="1"/>
    </xf>
    <xf numFmtId="4" fontId="21" fillId="33" borderId="24" xfId="0" applyNumberFormat="1" applyFont="1" applyFill="1" applyBorder="1"/>
    <xf numFmtId="4" fontId="21" fillId="33" borderId="0" xfId="0" applyNumberFormat="1" applyFont="1" applyFill="1"/>
    <xf numFmtId="4" fontId="0" fillId="33" borderId="15" xfId="0" applyNumberFormat="1" applyFill="1" applyBorder="1"/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4"/>
  <sheetViews>
    <sheetView showGridLines="0" tabSelected="1" zoomScaleNormal="100" workbookViewId="0">
      <selection activeCell="L6" sqref="L6"/>
    </sheetView>
  </sheetViews>
  <sheetFormatPr defaultRowHeight="15" x14ac:dyDescent="0.25"/>
  <cols>
    <col min="1" max="1" width="6.42578125" customWidth="1"/>
    <col min="2" max="2" width="34.85546875" customWidth="1"/>
    <col min="3" max="3" width="10.140625" customWidth="1"/>
    <col min="4" max="4" width="12.42578125" customWidth="1"/>
    <col min="5" max="5" width="13.5703125" customWidth="1"/>
    <col min="6" max="6" width="12.42578125" customWidth="1"/>
    <col min="7" max="7" width="11.5703125" customWidth="1"/>
    <col min="8" max="8" width="13.28515625" customWidth="1"/>
    <col min="9" max="9" width="12.42578125" customWidth="1"/>
    <col min="10" max="10" width="15.5703125" customWidth="1"/>
    <col min="11" max="11" width="14" customWidth="1"/>
    <col min="12" max="12" width="14.42578125" customWidth="1"/>
    <col min="13" max="13" width="12.7109375" customWidth="1"/>
    <col min="14" max="14" width="14" customWidth="1"/>
    <col min="15" max="15" width="11.7109375" customWidth="1"/>
    <col min="16" max="16" width="13.5703125" customWidth="1"/>
    <col min="17" max="17" width="14.140625" customWidth="1"/>
    <col min="18" max="18" width="15" customWidth="1"/>
    <col min="19" max="19" width="11.5703125" customWidth="1"/>
    <col min="20" max="20" width="13.28515625" customWidth="1"/>
    <col min="21" max="21" width="13.5703125" customWidth="1"/>
    <col min="22" max="23" width="13.28515625" customWidth="1"/>
    <col min="24" max="24" width="14.42578125" customWidth="1"/>
    <col min="25" max="25" width="11.7109375" customWidth="1"/>
    <col min="26" max="26" width="14.5703125" customWidth="1"/>
    <col min="27" max="27" width="15" customWidth="1"/>
    <col min="28" max="29" width="12.140625" customWidth="1"/>
    <col min="30" max="30" width="13.42578125" customWidth="1"/>
    <col min="31" max="31" width="13.85546875" customWidth="1"/>
    <col min="32" max="32" width="11.28515625" customWidth="1"/>
  </cols>
  <sheetData>
    <row r="1" spans="1:32" ht="23.25" customHeight="1" x14ac:dyDescent="0.3">
      <c r="A1" s="9" t="s">
        <v>24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ht="19.5" customHeight="1" x14ac:dyDescent="0.3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</row>
    <row r="3" spans="1:32" ht="15" customHeight="1" x14ac:dyDescent="0.25">
      <c r="A3" s="11" t="s">
        <v>1</v>
      </c>
      <c r="B3" s="11" t="s">
        <v>2</v>
      </c>
      <c r="C3" s="14" t="s">
        <v>3</v>
      </c>
      <c r="D3" s="17">
        <v>2025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9"/>
      <c r="AB3" s="20">
        <v>2026</v>
      </c>
      <c r="AC3" s="18"/>
      <c r="AD3" s="18"/>
      <c r="AE3" s="19"/>
    </row>
    <row r="4" spans="1:32" x14ac:dyDescent="0.25">
      <c r="A4" s="12"/>
      <c r="B4" s="12"/>
      <c r="C4" s="15"/>
      <c r="D4" s="17" t="s">
        <v>4</v>
      </c>
      <c r="E4" s="19"/>
      <c r="F4" s="20" t="s">
        <v>5</v>
      </c>
      <c r="G4" s="19"/>
      <c r="H4" s="20" t="s">
        <v>6</v>
      </c>
      <c r="I4" s="19"/>
      <c r="J4" s="20" t="s">
        <v>7</v>
      </c>
      <c r="K4" s="19"/>
      <c r="L4" s="20" t="s">
        <v>8</v>
      </c>
      <c r="M4" s="19"/>
      <c r="N4" s="20" t="s">
        <v>9</v>
      </c>
      <c r="O4" s="19"/>
      <c r="P4" s="20" t="s">
        <v>10</v>
      </c>
      <c r="Q4" s="19"/>
      <c r="R4" s="20" t="s">
        <v>11</v>
      </c>
      <c r="S4" s="19"/>
      <c r="T4" s="20" t="s">
        <v>12</v>
      </c>
      <c r="U4" s="19"/>
      <c r="V4" s="20" t="s">
        <v>13</v>
      </c>
      <c r="W4" s="19"/>
      <c r="X4" s="20" t="s">
        <v>14</v>
      </c>
      <c r="Y4" s="19"/>
      <c r="Z4" s="20" t="s">
        <v>15</v>
      </c>
      <c r="AA4" s="19"/>
      <c r="AB4" s="20" t="s">
        <v>4</v>
      </c>
      <c r="AC4" s="19"/>
      <c r="AD4" s="20" t="s">
        <v>5</v>
      </c>
      <c r="AE4" s="19"/>
    </row>
    <row r="5" spans="1:32" ht="21.75" customHeight="1" x14ac:dyDescent="0.25">
      <c r="A5" s="13"/>
      <c r="B5" s="13"/>
      <c r="C5" s="16"/>
      <c r="D5" s="1" t="s">
        <v>16</v>
      </c>
      <c r="E5" s="1" t="s">
        <v>17</v>
      </c>
      <c r="F5" s="1" t="s">
        <v>16</v>
      </c>
      <c r="G5" s="1" t="s">
        <v>17</v>
      </c>
      <c r="H5" s="1" t="s">
        <v>16</v>
      </c>
      <c r="I5" s="1" t="s">
        <v>17</v>
      </c>
      <c r="J5" s="1" t="s">
        <v>16</v>
      </c>
      <c r="K5" s="1" t="s">
        <v>17</v>
      </c>
      <c r="L5" s="1" t="s">
        <v>16</v>
      </c>
      <c r="M5" s="1" t="s">
        <v>17</v>
      </c>
      <c r="N5" s="1" t="s">
        <v>16</v>
      </c>
      <c r="O5" s="1" t="s">
        <v>17</v>
      </c>
      <c r="P5" s="1" t="s">
        <v>16</v>
      </c>
      <c r="Q5" s="1" t="s">
        <v>17</v>
      </c>
      <c r="R5" s="1" t="s">
        <v>16</v>
      </c>
      <c r="S5" s="1" t="s">
        <v>17</v>
      </c>
      <c r="T5" s="1" t="s">
        <v>16</v>
      </c>
      <c r="U5" s="1" t="s">
        <v>17</v>
      </c>
      <c r="V5" s="1" t="s">
        <v>16</v>
      </c>
      <c r="W5" s="1" t="s">
        <v>17</v>
      </c>
      <c r="X5" s="1" t="s">
        <v>16</v>
      </c>
      <c r="Y5" s="1" t="s">
        <v>17</v>
      </c>
      <c r="Z5" s="1" t="s">
        <v>16</v>
      </c>
      <c r="AA5" s="2" t="s">
        <v>17</v>
      </c>
      <c r="AB5" s="3" t="s">
        <v>16</v>
      </c>
      <c r="AC5" s="1" t="s">
        <v>17</v>
      </c>
      <c r="AD5" s="1" t="s">
        <v>16</v>
      </c>
      <c r="AE5" s="1" t="s">
        <v>17</v>
      </c>
    </row>
    <row r="6" spans="1:32" s="31" customFormat="1" ht="29.25" customHeight="1" x14ac:dyDescent="0.25">
      <c r="A6" s="25">
        <v>1</v>
      </c>
      <c r="B6" s="26" t="s">
        <v>25</v>
      </c>
      <c r="C6" s="27" t="s">
        <v>18</v>
      </c>
      <c r="D6" s="28">
        <f>43151.84+28610.28</f>
        <v>71762.12</v>
      </c>
      <c r="E6" s="28">
        <f>18226.92+15000+22029.92</f>
        <v>55256.84</v>
      </c>
      <c r="F6" s="28">
        <f>67754.33+53817.99</f>
        <v>121572.32</v>
      </c>
      <c r="G6" s="28">
        <f>32170.83+20000+41439.85</f>
        <v>93610.68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f>6677.2+4381.91</f>
        <v>11059.11</v>
      </c>
      <c r="W6" s="28">
        <f>5141.44+3374.07</f>
        <v>8515.51</v>
      </c>
      <c r="X6" s="28">
        <f>55236.18+36178.8</f>
        <v>91414.98000000001</v>
      </c>
      <c r="Y6" s="28">
        <f>21201.25+21330.61+13928.84+13928.83</f>
        <v>70389.53</v>
      </c>
      <c r="Z6" s="28">
        <f>59077.73+134314.52</f>
        <v>193392.25</v>
      </c>
      <c r="AA6" s="29">
        <f>27053.98+18435.87+91310.13+12112.04</f>
        <v>148912.02000000002</v>
      </c>
      <c r="AB6" s="30">
        <f>51191.9</f>
        <v>51191.9</v>
      </c>
      <c r="AC6" s="28">
        <f>18435.87+20981.89</f>
        <v>39417.759999999995</v>
      </c>
      <c r="AD6" s="28">
        <f>141562.56+63756.55</f>
        <v>205319.11</v>
      </c>
      <c r="AE6" s="28">
        <f>80923.53+28079.64+39804.76+9287.78</f>
        <v>158095.71</v>
      </c>
    </row>
    <row r="7" spans="1:32" s="31" customFormat="1" ht="29.25" customHeight="1" x14ac:dyDescent="0.25">
      <c r="A7" s="25">
        <v>2</v>
      </c>
      <c r="B7" s="32" t="s">
        <v>26</v>
      </c>
      <c r="C7" s="27" t="s">
        <v>19</v>
      </c>
      <c r="D7" s="28">
        <f>27074.5+17782.5</f>
        <v>44857</v>
      </c>
      <c r="E7" s="28">
        <f>11847.36+9000+13692.52</f>
        <v>34539.880000000005</v>
      </c>
      <c r="F7" s="28">
        <f>28852.8+18968</f>
        <v>47820.800000000003</v>
      </c>
      <c r="G7" s="28">
        <f>13216.66+9000+14605.36</f>
        <v>36822.020000000004</v>
      </c>
      <c r="H7" s="28">
        <f>28852.8+18968</f>
        <v>47820.800000000003</v>
      </c>
      <c r="I7" s="28">
        <f>12216.66+10000+14605.36</f>
        <v>36822.020000000004</v>
      </c>
      <c r="J7" s="28">
        <f>23517.9+15411.5</f>
        <v>38929.4</v>
      </c>
      <c r="K7" s="28">
        <f>8108.78+10000+11866.85</f>
        <v>29975.629999999997</v>
      </c>
      <c r="L7" s="28">
        <f>56472.25+39736.59</f>
        <v>96208.84</v>
      </c>
      <c r="M7" s="28">
        <f>43483.63+30597.18</f>
        <v>74080.81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f>14855.52+9793.26</f>
        <v>24648.78</v>
      </c>
      <c r="W7" s="28">
        <f>11438.75+7540.81</f>
        <v>18979.560000000001</v>
      </c>
      <c r="X7" s="28">
        <f>21606.06+14226</f>
        <v>35832.06</v>
      </c>
      <c r="Y7" s="28">
        <f>7873.42+8763.25+5248.8+5705.22</f>
        <v>27590.69</v>
      </c>
      <c r="Z7" s="28">
        <f>23451.13+54091.15</f>
        <v>77542.28</v>
      </c>
      <c r="AA7" s="29">
        <f>18057.4+36887.56+4762.59</f>
        <v>59707.55</v>
      </c>
      <c r="AB7" s="30">
        <v>17983</v>
      </c>
      <c r="AC7" s="28">
        <f>9028.68+4818.23</f>
        <v>13846.91</v>
      </c>
      <c r="AD7" s="28">
        <f>40128.2+16766.68</f>
        <v>56894.879999999997</v>
      </c>
      <c r="AE7" s="33">
        <f>12086.3+18812.41+11709.49+1200.86</f>
        <v>43809.06</v>
      </c>
    </row>
    <row r="8" spans="1:32" s="31" customFormat="1" ht="48.75" customHeight="1" x14ac:dyDescent="0.25">
      <c r="A8" s="25">
        <v>3</v>
      </c>
      <c r="B8" s="32" t="s">
        <v>30</v>
      </c>
      <c r="C8" s="27" t="s">
        <v>18</v>
      </c>
      <c r="D8" s="28">
        <f>52255+33142.5</f>
        <v>85397.5</v>
      </c>
      <c r="E8" s="28">
        <f>30236.35+10000+25519.72</f>
        <v>65756.070000000007</v>
      </c>
      <c r="F8" s="28">
        <f>50413.75+35597.5</f>
        <v>86011.25</v>
      </c>
      <c r="G8" s="28">
        <f>23818.58+15000+27410.07</f>
        <v>66228.649999999994</v>
      </c>
      <c r="H8" s="28">
        <f>52255+34370</f>
        <v>86625</v>
      </c>
      <c r="I8" s="28">
        <f>25236.35+15000+26464.9</f>
        <v>66701.25</v>
      </c>
      <c r="J8" s="28">
        <f>50413.75+31915</f>
        <v>82328.75</v>
      </c>
      <c r="K8" s="28">
        <f>23818.58+15000+24574.55</f>
        <v>63393.130000000005</v>
      </c>
      <c r="L8" s="28">
        <f>48572.5+31915</f>
        <v>80487.5</v>
      </c>
      <c r="M8" s="28">
        <f>22400.82+15000+24574.55</f>
        <v>61975.369999999995</v>
      </c>
      <c r="N8" s="28">
        <f>52255+34370</f>
        <v>86625</v>
      </c>
      <c r="O8" s="28">
        <f>25236.35+15000+26464.9</f>
        <v>66701.25</v>
      </c>
      <c r="P8" s="28">
        <f>48872.5+31915</f>
        <v>80787.5</v>
      </c>
      <c r="Q8" s="28">
        <f>22631.82+15000+24574.55</f>
        <v>62206.369999999995</v>
      </c>
      <c r="R8" s="28">
        <f>52621.46+34370</f>
        <v>86991.459999999992</v>
      </c>
      <c r="S8" s="28">
        <f>25518.53+15000+26464.9</f>
        <v>66983.429999999993</v>
      </c>
      <c r="T8" s="28">
        <f>52488.23+34370</f>
        <v>86858.23000000001</v>
      </c>
      <c r="U8" s="28">
        <f>25415.94+15000+26464.9</f>
        <v>66880.84</v>
      </c>
      <c r="V8" s="28">
        <f>48672.5+117220.68</f>
        <v>165893.18</v>
      </c>
      <c r="W8" s="28">
        <f>22477.82+15000+90259.93</f>
        <v>127737.75</v>
      </c>
      <c r="X8" s="28">
        <f>141001.92+98943.65</f>
        <v>239945.57</v>
      </c>
      <c r="Y8" s="28">
        <f>25355.45+83216.03+19135.32+57051.28</f>
        <v>184758.08</v>
      </c>
      <c r="Z8" s="28">
        <f>49467.15+38586.19</f>
        <v>88053.34</v>
      </c>
      <c r="AA8" s="29">
        <f>23081.4+15008.31+19848.67+9862.69</f>
        <v>67801.069999999992</v>
      </c>
      <c r="AB8" s="30">
        <v>48672.5</v>
      </c>
      <c r="AC8" s="28">
        <f>15008.31+22469.51</f>
        <v>37477.82</v>
      </c>
      <c r="AD8" s="28">
        <f>149370.5+65481</f>
        <v>214851.5</v>
      </c>
      <c r="AE8" s="28">
        <f>76892+38123.28+37815.28+12605.09</f>
        <v>165435.65</v>
      </c>
    </row>
    <row r="9" spans="1:32" s="31" customFormat="1" ht="29.25" customHeight="1" x14ac:dyDescent="0.25">
      <c r="A9" s="25">
        <v>4</v>
      </c>
      <c r="B9" s="32" t="s">
        <v>27</v>
      </c>
      <c r="C9" s="27" t="s">
        <v>21</v>
      </c>
      <c r="D9" s="28">
        <f>27174.5+17189.75</f>
        <v>44364.25</v>
      </c>
      <c r="E9" s="28">
        <f>13924.36+7000+13236.1</f>
        <v>34160.46</v>
      </c>
      <c r="F9" s="28">
        <f>28952.8+19560.75</f>
        <v>48513.55</v>
      </c>
      <c r="G9" s="28">
        <f>13293.66+9000+15061.77</f>
        <v>37355.43</v>
      </c>
      <c r="H9" s="28">
        <f>28952.8+18968</f>
        <v>47920.800000000003</v>
      </c>
      <c r="I9" s="28">
        <f>13293.66+9000+14605.36</f>
        <v>36899.020000000004</v>
      </c>
      <c r="J9" s="28">
        <f>28200.75+19371.66</f>
        <v>47572.41</v>
      </c>
      <c r="K9" s="28">
        <f>8308.57+13406+14916.19</f>
        <v>36630.76</v>
      </c>
      <c r="L9" s="28">
        <f>28952.8+18968</f>
        <v>47920.800000000003</v>
      </c>
      <c r="M9" s="28">
        <f>15293.66+7000+14605.36</f>
        <v>36899.020000000004</v>
      </c>
      <c r="N9" s="28">
        <f>27174.5+17782.5</f>
        <v>44957</v>
      </c>
      <c r="O9" s="28">
        <f>13924.36+7000+13692.52</f>
        <v>34616.880000000005</v>
      </c>
      <c r="P9" s="28">
        <f>27174.5+64862.33</f>
        <v>92036.83</v>
      </c>
      <c r="Q9" s="28">
        <f>13924.36+7000+49943.99</f>
        <v>70868.350000000006</v>
      </c>
      <c r="R9" s="28">
        <f>27440.96+17782.5</f>
        <v>45223.46</v>
      </c>
      <c r="S9" s="28">
        <f>14129.54+7000+13692.52</f>
        <v>34822.06</v>
      </c>
      <c r="T9" s="28">
        <f>49834.23+33220.45</f>
        <v>83054.679999999993</v>
      </c>
      <c r="U9" s="28">
        <f>5372.36+33000+5579.75+20000</f>
        <v>63952.11</v>
      </c>
      <c r="V9" s="28">
        <f>27174.5+17782.5</f>
        <v>44957</v>
      </c>
      <c r="W9" s="28">
        <f>13924.36+7000+13692.52</f>
        <v>34616.880000000005</v>
      </c>
      <c r="X9" s="28">
        <f>27440.96+17782.5</f>
        <v>45223.46</v>
      </c>
      <c r="Y9" s="28">
        <f>10119.85+11009.69+6846.25+6846.27</f>
        <v>34822.06</v>
      </c>
      <c r="Z9" s="28">
        <f>35948.22+26459.67</f>
        <v>62407.89</v>
      </c>
      <c r="AA9" s="29">
        <f>9421.53+18258.6+8394.15+11979.8</f>
        <v>48054.080000000002</v>
      </c>
      <c r="AB9" s="30">
        <v>18250.189999999999</v>
      </c>
      <c r="AC9" s="28">
        <f>10462.18+3590.46</f>
        <v>14052.64</v>
      </c>
      <c r="AD9" s="28">
        <f>49251.82+19577.51</f>
        <v>68829.33</v>
      </c>
      <c r="AE9" s="33">
        <f>7804.6+30119.3+7373.53+7701.15</f>
        <v>52998.58</v>
      </c>
      <c r="AF9" s="34"/>
    </row>
    <row r="10" spans="1:32" s="31" customFormat="1" ht="39.75" customHeight="1" x14ac:dyDescent="0.25">
      <c r="A10" s="25">
        <v>5</v>
      </c>
      <c r="B10" s="32" t="s">
        <v>27</v>
      </c>
      <c r="C10" s="27" t="s">
        <v>20</v>
      </c>
      <c r="D10" s="28">
        <f>27185+17041.25</f>
        <v>44226.25</v>
      </c>
      <c r="E10" s="28">
        <f>13932.45+7000+13121.76</f>
        <v>34054.21</v>
      </c>
      <c r="F10" s="28">
        <f>28207.5+19767.85</f>
        <v>47975.35</v>
      </c>
      <c r="G10" s="28">
        <f>14719.77+7000+15221.25</f>
        <v>36941.020000000004</v>
      </c>
      <c r="H10" s="28">
        <f>29835.26+18909.6</f>
        <v>48744.86</v>
      </c>
      <c r="I10" s="28">
        <f>15973.15+7000+14560.4</f>
        <v>37533.550000000003</v>
      </c>
      <c r="J10" s="28">
        <f>30252.5+19086.2</f>
        <v>49338.7</v>
      </c>
      <c r="K10" s="28">
        <f>15294.42+8000+14696.37</f>
        <v>37990.79</v>
      </c>
      <c r="L10" s="28">
        <f>30252.5+19767.85</f>
        <v>50020.35</v>
      </c>
      <c r="M10" s="28">
        <f>16294.42+7000+15221.25</f>
        <v>38515.67</v>
      </c>
      <c r="N10" s="28">
        <f>29230+19086.2</f>
        <v>48316.2</v>
      </c>
      <c r="O10" s="28">
        <f>15507.1+7000+14696.37</f>
        <v>37203.47</v>
      </c>
      <c r="P10" s="28">
        <f>29230+19086.2</f>
        <v>48316.2</v>
      </c>
      <c r="Q10" s="28">
        <f>15507.1+7000+14696.37</f>
        <v>37203.47</v>
      </c>
      <c r="R10" s="28">
        <f>29496.46+19086.2</f>
        <v>48582.66</v>
      </c>
      <c r="S10" s="28">
        <f>15712.28+7000+14696.37</f>
        <v>37408.65</v>
      </c>
      <c r="T10" s="28">
        <f>54915.27+35425.3</f>
        <v>90340.57</v>
      </c>
      <c r="U10" s="28">
        <f>5284.76+37000+7277.48+20000</f>
        <v>69562.240000000005</v>
      </c>
      <c r="V10" s="28">
        <f>30252.5+67583.27</f>
        <v>97835.77</v>
      </c>
      <c r="W10" s="28">
        <f>15266.71+8027.71+51371.1+668.02</f>
        <v>75333.539999999994</v>
      </c>
      <c r="X10" s="28">
        <f>30585.62+12536.23</f>
        <v>43121.85</v>
      </c>
      <c r="Y10" s="28">
        <f>8659.68+14891.25+314.92+9337.98</f>
        <v>33203.83</v>
      </c>
      <c r="Z10" s="28">
        <f>50857.4+37945.82</f>
        <v>88803.22</v>
      </c>
      <c r="AA10" s="29">
        <f>13198.69+25961.51+12494.37+16723.91</f>
        <v>68378.48</v>
      </c>
      <c r="AB10" s="30">
        <v>12356.82</v>
      </c>
      <c r="AC10" s="28">
        <f>9473.01+4174</f>
        <v>13647.01</v>
      </c>
      <c r="AD10" s="28">
        <f>71271.14+40797.99</f>
        <v>112069.13</v>
      </c>
      <c r="AE10" s="28">
        <f>4174.2+50704.57+31414.46</f>
        <v>86293.23</v>
      </c>
    </row>
    <row r="11" spans="1:32" s="31" customFormat="1" ht="27.75" customHeight="1" x14ac:dyDescent="0.25">
      <c r="A11" s="25">
        <v>6</v>
      </c>
      <c r="B11" s="26" t="s">
        <v>27</v>
      </c>
      <c r="C11" s="27" t="s">
        <v>20</v>
      </c>
      <c r="D11" s="28">
        <f>20650+13633</f>
        <v>34283</v>
      </c>
      <c r="E11" s="28">
        <f>8900.5+7000+10497.41</f>
        <v>26397.91</v>
      </c>
      <c r="F11" s="28">
        <f>21672.5+14996.3</f>
        <v>36668.800000000003</v>
      </c>
      <c r="G11" s="28">
        <f>9687.82+7000+11547.15</f>
        <v>28234.97</v>
      </c>
      <c r="H11" s="28">
        <f>54161.25+38239.67</f>
        <v>92400.92</v>
      </c>
      <c r="I11" s="28">
        <f>34704.17+7000+29444.54</f>
        <v>71148.709999999992</v>
      </c>
      <c r="J11" s="28">
        <f>10306.82+6134.85</f>
        <v>16441.669999999998</v>
      </c>
      <c r="K11" s="28">
        <f>7936.25+4723.84</f>
        <v>12660.09</v>
      </c>
      <c r="L11" s="28">
        <f>23884.82+15789.49</f>
        <v>39674.31</v>
      </c>
      <c r="M11" s="28">
        <f>11391.31+7000+12157.91</f>
        <v>30549.219999999998</v>
      </c>
      <c r="N11" s="28">
        <f>34959+15268.96</f>
        <v>50227.96</v>
      </c>
      <c r="O11" s="28">
        <f>19918.43+7000+11757.1</f>
        <v>38675.53</v>
      </c>
      <c r="P11" s="28">
        <f>34959+15268.96</f>
        <v>50227.96</v>
      </c>
      <c r="Q11" s="28">
        <f>19918.43+7000+11757.1</f>
        <v>38675.53</v>
      </c>
      <c r="R11" s="28">
        <f>36123.58+15268.96</f>
        <v>51392.54</v>
      </c>
      <c r="S11" s="28">
        <f>20815.16+7000+11757.09</f>
        <v>39572.25</v>
      </c>
      <c r="T11" s="28">
        <f>23237.23+55876.19</f>
        <v>79113.42</v>
      </c>
      <c r="U11" s="28">
        <f>10892.67+7000+43024.66</f>
        <v>60917.33</v>
      </c>
      <c r="V11" s="28">
        <f>24126.5+15950.61</f>
        <v>40077.11</v>
      </c>
      <c r="W11" s="28">
        <f>11577.4+7000+12281.97</f>
        <v>30859.370000000003</v>
      </c>
      <c r="X11" s="28">
        <f>24571.04+31158.38</f>
        <v>55729.42</v>
      </c>
      <c r="Y11" s="28">
        <f>9425.83+9493.87+17850.96+6140.99</f>
        <v>42911.65</v>
      </c>
      <c r="Z11" s="28">
        <f>30717.31+23073.07</f>
        <v>53790.380000000005</v>
      </c>
      <c r="AA11" s="29">
        <f>8070.47+15581.85+7900.49+9865.78</f>
        <v>41418.589999999997</v>
      </c>
      <c r="AB11" s="30">
        <v>19144.55</v>
      </c>
      <c r="AC11" s="28">
        <f>9288.7+5452.6</f>
        <v>14741.300000000001</v>
      </c>
      <c r="AD11" s="28">
        <f>41978.55+20245.8</f>
        <v>62224.350000000006</v>
      </c>
      <c r="AE11" s="28">
        <f>9996.99+22326.49+6506.36+9082.91</f>
        <v>47912.75</v>
      </c>
    </row>
    <row r="12" spans="1:32" s="31" customFormat="1" ht="32.25" customHeight="1" x14ac:dyDescent="0.25">
      <c r="A12" s="25">
        <v>7</v>
      </c>
      <c r="B12" s="32" t="s">
        <v>27</v>
      </c>
      <c r="C12" s="27" t="s">
        <v>20</v>
      </c>
      <c r="D12" s="28">
        <f>33680.66+25399.74</f>
        <v>59080.400000000009</v>
      </c>
      <c r="E12" s="28">
        <f>18934.11+7000+19557.79</f>
        <v>45491.9</v>
      </c>
      <c r="F12" s="28">
        <f>19935.38+13905.67</f>
        <v>33841.050000000003</v>
      </c>
      <c r="G12" s="28">
        <f>8350.25+7000+10707.37</f>
        <v>26057.620000000003</v>
      </c>
      <c r="H12" s="28">
        <f>26989.5+18540.88</f>
        <v>45530.380000000005</v>
      </c>
      <c r="I12" s="28">
        <f>13781.91+7000+14276.48</f>
        <v>35058.39</v>
      </c>
      <c r="J12" s="28">
        <f>70741.26+47773.5</f>
        <v>118514.76</v>
      </c>
      <c r="K12" s="28">
        <f>46470.77+8000+36785.6</f>
        <v>91256.37</v>
      </c>
      <c r="L12" s="28">
        <f>13197.5+8737.51</f>
        <v>21935.010000000002</v>
      </c>
      <c r="M12" s="28">
        <f>10162.07+6727.88</f>
        <v>16889.95</v>
      </c>
      <c r="N12" s="28">
        <f>20266.14+16006.86+14615.82+10594.79</f>
        <v>61483.61</v>
      </c>
      <c r="O12" s="28">
        <f>15604.92+12325.29+11254.19+8157.98</f>
        <v>47342.380000000005</v>
      </c>
      <c r="P12" s="28">
        <f>28012+18540.88</f>
        <v>46552.880000000005</v>
      </c>
      <c r="Q12" s="28">
        <f>14569.24+7000+14276.48</f>
        <v>35845.72</v>
      </c>
      <c r="R12" s="28">
        <f>28473.22+18670.72</f>
        <v>47143.94</v>
      </c>
      <c r="S12" s="28">
        <f>14924.38+7000+14376.45</f>
        <v>36300.83</v>
      </c>
      <c r="T12" s="28">
        <f>28554.23+18813.54</f>
        <v>47367.770000000004</v>
      </c>
      <c r="U12" s="28">
        <f>14986.76+7000+14486.42</f>
        <v>36473.18</v>
      </c>
      <c r="V12" s="28">
        <f>29443.5+19495.19</f>
        <v>48938.69</v>
      </c>
      <c r="W12" s="28">
        <f>15671.49+7000+15011.3</f>
        <v>37682.789999999994</v>
      </c>
      <c r="X12" s="28">
        <f>30732.46+66642.68</f>
        <v>97375.139999999985</v>
      </c>
      <c r="Y12" s="28">
        <f>12123.08+11540.92+44229.1</f>
        <v>67893.100000000006</v>
      </c>
      <c r="Z12" s="28">
        <f>32644.23+24948.44</f>
        <v>57592.67</v>
      </c>
      <c r="AA12" s="29">
        <f>14936.57+10199.49+12455.44</f>
        <v>37591.5</v>
      </c>
      <c r="AB12" s="30">
        <v>33914.28</v>
      </c>
      <c r="AC12" s="28">
        <f>11335.74+14778.26</f>
        <v>26114</v>
      </c>
      <c r="AD12" s="28">
        <f>40721.08+20264.7</f>
        <v>60985.78</v>
      </c>
      <c r="AE12" s="28">
        <f>7906.32+23448.92+5480.18+10123.63</f>
        <v>46959.049999999996</v>
      </c>
    </row>
    <row r="13" spans="1:32" s="31" customFormat="1" ht="27.75" customHeight="1" x14ac:dyDescent="0.25">
      <c r="A13" s="25">
        <v>8</v>
      </c>
      <c r="B13" s="32" t="s">
        <v>28</v>
      </c>
      <c r="C13" s="27" t="s">
        <v>29</v>
      </c>
      <c r="D13" s="28">
        <f>32207.04+20577.5</f>
        <v>52784.54</v>
      </c>
      <c r="E13" s="28">
        <f>14799.42+10000+15844.67</f>
        <v>40644.089999999997</v>
      </c>
      <c r="F13" s="28">
        <f>30972.39+21565.22</f>
        <v>52537.61</v>
      </c>
      <c r="G13" s="28">
        <f>13848.74+10000+16605.22</f>
        <v>40453.96</v>
      </c>
      <c r="H13" s="28">
        <f>34676.34+22717.56</f>
        <v>57393.899999999994</v>
      </c>
      <c r="I13" s="28">
        <f>16700.78+10000+17492.52</f>
        <v>44193.3</v>
      </c>
      <c r="J13" s="28">
        <f>33441.69+21071.36</f>
        <v>54513.05</v>
      </c>
      <c r="K13" s="28">
        <f>13750.11+12000+16224.94</f>
        <v>41975.05</v>
      </c>
      <c r="L13" s="28">
        <f>33441.69+21894.46</f>
        <v>55336.15</v>
      </c>
      <c r="M13" s="28">
        <f>15750.11+10000+16858.73</f>
        <v>42608.84</v>
      </c>
      <c r="N13" s="28">
        <f>32700.9+21400.6</f>
        <v>54101.5</v>
      </c>
      <c r="O13" s="28">
        <f>15179.69+10000+16478.46</f>
        <v>41658.15</v>
      </c>
      <c r="P13" s="28">
        <f>22748.45+71959.39</f>
        <v>94707.839999999997</v>
      </c>
      <c r="Q13" s="28">
        <f>7516.31+10000+55408.73</f>
        <v>72925.040000000008</v>
      </c>
      <c r="R13" s="28">
        <f>59253.26+41978.26</f>
        <v>101231.52</v>
      </c>
      <c r="S13" s="28">
        <f>5625.01+40000+2323.27+30000</f>
        <v>77948.28</v>
      </c>
      <c r="T13" s="28">
        <f>39739.43+26924.84</f>
        <v>66664.27</v>
      </c>
      <c r="U13" s="28">
        <f>20599.35+10000+20732.13</f>
        <v>51331.479999999996</v>
      </c>
      <c r="V13" s="28">
        <f>33935.55+22223.7</f>
        <v>56159.25</v>
      </c>
      <c r="W13" s="28">
        <f>16130.37+10000+17112.24</f>
        <v>43242.61</v>
      </c>
      <c r="X13" s="35">
        <f>32627.46+26153</f>
        <v>58780.46</v>
      </c>
      <c r="Y13" s="28">
        <f>8599.65+16523.5+9189.91+10947.9</f>
        <v>45260.959999999999</v>
      </c>
      <c r="Z13" s="28">
        <f>45302.18+35010.79</f>
        <v>80312.97</v>
      </c>
      <c r="AA13" s="29">
        <f>23108.3+11774.38+19242.65+7715.66</f>
        <v>61840.990000000005</v>
      </c>
      <c r="AB13" s="30">
        <v>25221.26</v>
      </c>
      <c r="AC13" s="28">
        <f>13065.18+6355.19</f>
        <v>19420.37</v>
      </c>
      <c r="AD13" s="28">
        <f>61717.97+28642.03</f>
        <v>90360</v>
      </c>
      <c r="AE13" s="28">
        <f>15620.8+31902.04+7497.66+14556.7</f>
        <v>69577.2</v>
      </c>
    </row>
    <row r="14" spans="1:32" s="31" customFormat="1" ht="27.75" customHeight="1" x14ac:dyDescent="0.25">
      <c r="A14" s="25">
        <v>9</v>
      </c>
      <c r="B14" s="32" t="s">
        <v>27</v>
      </c>
      <c r="C14" s="27" t="s">
        <v>20</v>
      </c>
      <c r="D14" s="28">
        <f>30391.41+24485.05</f>
        <v>54876.46</v>
      </c>
      <c r="E14" s="28">
        <f>16401.38+7000+18853.48</f>
        <v>42254.86</v>
      </c>
      <c r="F14" s="28">
        <f>28307.5+19086.2</f>
        <v>47393.7</v>
      </c>
      <c r="G14" s="28">
        <f>14796.77+7000+14696.37</f>
        <v>36493.14</v>
      </c>
      <c r="H14" s="28">
        <f>8087.86+5453.19</f>
        <v>13541.05</v>
      </c>
      <c r="I14" s="28">
        <f>6227.66+4198.95</f>
        <v>10426.61</v>
      </c>
      <c r="J14" s="28">
        <f>52072.01+21465.95</f>
        <v>73537.960000000006</v>
      </c>
      <c r="K14" s="28">
        <f>31323.11+8000+16528.78</f>
        <v>55851.89</v>
      </c>
      <c r="L14" s="28">
        <f>47483.42+20224.86</f>
        <v>67708.28</v>
      </c>
      <c r="M14" s="28">
        <f>29562.23+7000+15573.13</f>
        <v>52135.359999999993</v>
      </c>
      <c r="N14" s="28">
        <f>69085.67+45418.31</f>
        <v>114503.98</v>
      </c>
      <c r="O14" s="28">
        <f>749.84+52446.13+286.46+34472.23</f>
        <v>87954.66</v>
      </c>
      <c r="P14" s="28">
        <f>19128.27+12447.53</f>
        <v>31575.800000000003</v>
      </c>
      <c r="Q14" s="28">
        <f>14728.77+9371.18</f>
        <v>24099.95</v>
      </c>
      <c r="R14" s="28">
        <f>29550.12+67178.06</f>
        <v>96728.18</v>
      </c>
      <c r="S14" s="28">
        <f>12753.59+10000+51513.7</f>
        <v>74267.289999999994</v>
      </c>
      <c r="T14" s="28">
        <f>29463.23+19086.2</f>
        <v>48549.43</v>
      </c>
      <c r="U14" s="28">
        <f>15686.69+7000+14482.96</f>
        <v>37169.65</v>
      </c>
      <c r="V14" s="28">
        <f>30697.64+19804.16</f>
        <v>50501.8</v>
      </c>
      <c r="W14" s="28">
        <f>8266.12+15371.06+5172.21+9863.59</f>
        <v>38672.979999999996</v>
      </c>
      <c r="X14" s="28">
        <f>31641.46+20449.5</f>
        <v>52090.96</v>
      </c>
      <c r="Y14" s="28">
        <f>12473.05+11890.88+8135.49+7610.62</f>
        <v>40110.04</v>
      </c>
      <c r="Z14" s="35">
        <f>37252.84+27429.12</f>
        <v>64681.959999999992</v>
      </c>
      <c r="AA14" s="29">
        <f>18180.89+10503.8+14274.28+6846.14</f>
        <v>49805.11</v>
      </c>
      <c r="AB14" s="30">
        <f>9712.45+28357.02</f>
        <v>38069.47</v>
      </c>
      <c r="AC14" s="28">
        <f>21834.9+7478.59</f>
        <v>29313.49</v>
      </c>
      <c r="AD14" s="28">
        <f>46329.41+18431.05</f>
        <v>64760.460000000006</v>
      </c>
      <c r="AE14" s="28">
        <f>19792.05+15881.6+8988.21+5203.7</f>
        <v>49865.56</v>
      </c>
    </row>
    <row r="15" spans="1:32" s="31" customFormat="1" ht="27.75" customHeight="1" x14ac:dyDescent="0.25">
      <c r="A15" s="25">
        <v>10</v>
      </c>
      <c r="B15" s="32" t="s">
        <v>27</v>
      </c>
      <c r="C15" s="27" t="s">
        <v>20</v>
      </c>
      <c r="D15" s="28">
        <f>27285+19086.2</f>
        <v>46371.199999999997</v>
      </c>
      <c r="E15" s="28">
        <f>14009.45+7000+14696.37</f>
        <v>35705.82</v>
      </c>
      <c r="F15" s="28">
        <f>28307.5+17722.9</f>
        <v>46030.400000000001</v>
      </c>
      <c r="G15" s="28">
        <f>14796.77+7000+13646.63</f>
        <v>35443.4</v>
      </c>
      <c r="H15" s="28">
        <f>28307.5+19086.2</f>
        <v>47393.7</v>
      </c>
      <c r="I15" s="28">
        <f>14796.77+7000+14696.37</f>
        <v>36493.14</v>
      </c>
      <c r="J15" s="28">
        <f>30352.5+19086.2</f>
        <v>49438.7</v>
      </c>
      <c r="K15" s="28">
        <f>15371.42+8000+14696.37</f>
        <v>38067.79</v>
      </c>
      <c r="L15" s="28">
        <f>30352.5+19767.85</f>
        <v>50120.35</v>
      </c>
      <c r="M15" s="28">
        <f>16371.42+7000+15221.25</f>
        <v>38592.67</v>
      </c>
      <c r="N15" s="28">
        <f>29330+19086.2</f>
        <v>48416.2</v>
      </c>
      <c r="O15" s="28">
        <f>15584.1+7000+14696.37</f>
        <v>37280.47</v>
      </c>
      <c r="P15" s="28">
        <f>56160.99+37037.31</f>
        <v>93198.299999999988</v>
      </c>
      <c r="Q15" s="28">
        <f>3243.96+40000+2018.73+26500</f>
        <v>71762.69</v>
      </c>
      <c r="R15" s="28">
        <f>29538.53+19086.2</f>
        <v>48624.729999999996</v>
      </c>
      <c r="S15" s="28">
        <f>15744.66+7000+14696.38</f>
        <v>37441.040000000001</v>
      </c>
      <c r="T15" s="28">
        <f>29463.23+67371.39</f>
        <v>96834.62</v>
      </c>
      <c r="U15" s="28">
        <f>15686.69+7000+51875.97</f>
        <v>74562.66</v>
      </c>
      <c r="V15" s="28">
        <f>30352.5+19767.85</f>
        <v>50120.35</v>
      </c>
      <c r="W15" s="28">
        <f>16371.42+7000+15221.25</f>
        <v>38592.67</v>
      </c>
      <c r="X15" s="28">
        <f>30865.68+20231.9</f>
        <v>51097.58</v>
      </c>
      <c r="Y15" s="28">
        <f>154.53+23612.04+15840.98</f>
        <v>39607.550000000003</v>
      </c>
      <c r="Z15" s="28">
        <f>30050.14+23040.45</f>
        <v>53090.59</v>
      </c>
      <c r="AA15" s="29">
        <f>10651.44+12487.17+9516.19+8093.75</f>
        <v>40748.550000000003</v>
      </c>
      <c r="AB15" s="30">
        <v>24804.54</v>
      </c>
      <c r="AC15" s="28">
        <f>11685.71+7413.78</f>
        <v>19099.489999999998</v>
      </c>
      <c r="AD15" s="28">
        <f>53947.17+25803.47</f>
        <v>79750.64</v>
      </c>
      <c r="AE15" s="28">
        <f>12657.72+28881.6+7664.97+12203.7</f>
        <v>61407.990000000005</v>
      </c>
    </row>
    <row r="16" spans="1:32" s="31" customFormat="1" ht="29.25" customHeight="1" x14ac:dyDescent="0.25">
      <c r="A16" s="25">
        <v>11</v>
      </c>
      <c r="B16" s="32" t="s">
        <v>27</v>
      </c>
      <c r="C16" s="27" t="s">
        <v>20</v>
      </c>
      <c r="D16" s="28">
        <f>26785+17722.9</f>
        <v>44507.9</v>
      </c>
      <c r="E16" s="28">
        <f>13624.45+7000+13646.63</f>
        <v>34271.08</v>
      </c>
      <c r="F16" s="28">
        <f>63188.19+43921.18</f>
        <v>107109.37</v>
      </c>
      <c r="G16" s="28">
        <f>590.5+48064.41+33819.3</f>
        <v>82474.210000000006</v>
      </c>
      <c r="H16" s="28">
        <f>21186.67+14541.86</f>
        <v>35728.53</v>
      </c>
      <c r="I16" s="28">
        <f>9313.74+7000+11197.24</f>
        <v>27510.98</v>
      </c>
      <c r="J16" s="28">
        <f>29596.87+19086.2</f>
        <v>48683.07</v>
      </c>
      <c r="K16" s="28">
        <f>14789.59+8000+14696.38</f>
        <v>37485.97</v>
      </c>
      <c r="L16" s="28">
        <f>29852.5+19767.85</f>
        <v>49620.35</v>
      </c>
      <c r="M16" s="28">
        <f>15986.42+7000+15221.25</f>
        <v>38207.67</v>
      </c>
      <c r="N16" s="28">
        <f>44441.84+29152.76</f>
        <v>73594.599999999991</v>
      </c>
      <c r="O16" s="28">
        <f>27220.22+7000+22447.62</f>
        <v>56667.839999999997</v>
      </c>
      <c r="P16" s="28">
        <f>13788.25+9128.18</f>
        <v>22916.43</v>
      </c>
      <c r="Q16" s="28">
        <f>10616.95+7028.7</f>
        <v>17645.650000000001</v>
      </c>
      <c r="R16" s="28">
        <f>29026.95+66321.55</f>
        <v>95348.5</v>
      </c>
      <c r="S16" s="28">
        <f>15350.75+7000+51067.59</f>
        <v>73418.34</v>
      </c>
      <c r="T16" s="28">
        <f>28963.23+19086.2</f>
        <v>48049.43</v>
      </c>
      <c r="U16" s="28">
        <f>15301.69+7000+14696.37</f>
        <v>36998.060000000005</v>
      </c>
      <c r="V16" s="28">
        <f>30362.49+20543.7</f>
        <v>50906.19</v>
      </c>
      <c r="W16" s="28">
        <f>2409.6+20969.52+1597.43+14221.22</f>
        <v>39197.769999999997</v>
      </c>
      <c r="X16" s="28">
        <f>30449.18+19975.31</f>
        <v>50424.490000000005</v>
      </c>
      <c r="Y16" s="28">
        <f>11747.49+11698.38+7770.36+7610.62</f>
        <v>38826.85</v>
      </c>
      <c r="Z16" s="28">
        <f>32575.01+24917.71</f>
        <v>57492.72</v>
      </c>
      <c r="AA16" s="29">
        <f>15046.12+10036.64+12528.46+6658.17</f>
        <v>44269.39</v>
      </c>
      <c r="AB16" s="30">
        <v>26785</v>
      </c>
      <c r="AC16" s="28">
        <f>11689.55+8934.9</f>
        <v>20624.449999999997</v>
      </c>
      <c r="AD16" s="28">
        <f>101196.61+54419.33</f>
        <v>155615.94</v>
      </c>
      <c r="AE16" s="28">
        <f>11442.84+66478.55+7611.09+34291.79</f>
        <v>119824.26999999999</v>
      </c>
    </row>
    <row r="17" spans="1:31" ht="0.75" hidden="1" customHeight="1" x14ac:dyDescent="0.25">
      <c r="A17" s="21" t="s">
        <v>22</v>
      </c>
      <c r="B17" s="22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ht="24" customHeight="1" x14ac:dyDescent="0.25">
      <c r="A18" s="23"/>
      <c r="B18" s="24"/>
      <c r="C18" s="4"/>
      <c r="D18" s="5">
        <f>SUM(D6:D17)</f>
        <v>582510.62</v>
      </c>
      <c r="E18" s="5">
        <f>SUM(E6:E17)</f>
        <v>448533.12</v>
      </c>
      <c r="F18" s="5">
        <f>SUM(F6:F17)</f>
        <v>675474.2</v>
      </c>
      <c r="G18" s="5">
        <f>SUM(G6:G17)</f>
        <v>520115.10000000009</v>
      </c>
      <c r="H18" s="5">
        <f>SUM(H6:H17)</f>
        <v>523099.93999999994</v>
      </c>
      <c r="I18" s="5">
        <f>SUM(I6:I17)</f>
        <v>402786.97</v>
      </c>
      <c r="J18" s="5">
        <f>SUM(J6:J17)</f>
        <v>579298.47</v>
      </c>
      <c r="K18" s="5">
        <f>SUM(K6:K17)</f>
        <v>445287.47</v>
      </c>
      <c r="L18" s="5">
        <f>SUM(L6:L17)</f>
        <v>559031.93999999994</v>
      </c>
      <c r="M18" s="5">
        <f>SUM(M6:M17)</f>
        <v>430454.57999999996</v>
      </c>
      <c r="N18" s="5">
        <f>SUM(N6:N17)</f>
        <v>582226.05000000005</v>
      </c>
      <c r="O18" s="5">
        <f>SUM(O6:O17)</f>
        <v>448100.63</v>
      </c>
      <c r="P18" s="5">
        <f>SUM(P6:P17)</f>
        <v>560319.74000000011</v>
      </c>
      <c r="Q18" s="5">
        <f>SUM(Q6:Q17)</f>
        <v>431232.77</v>
      </c>
      <c r="R18" s="5">
        <f>SUM(R6:R17)</f>
        <v>621266.99</v>
      </c>
      <c r="S18" s="5">
        <f>SUM(S6:S17)</f>
        <v>478162.16999999993</v>
      </c>
      <c r="T18" s="5">
        <f>SUM(T6:T17)</f>
        <v>646832.42000000004</v>
      </c>
      <c r="U18" s="5">
        <f>SUM(U6:U17)</f>
        <v>497847.55</v>
      </c>
      <c r="V18" s="5">
        <f>SUM(V6:V17)</f>
        <v>641097.23</v>
      </c>
      <c r="W18" s="5">
        <f>SUM(W6:W17)</f>
        <v>493431.42999999993</v>
      </c>
      <c r="X18" s="5">
        <f>SUM(X6:X17)</f>
        <v>821035.96999999986</v>
      </c>
      <c r="Y18" s="5">
        <f>SUM(Y6:Y17)</f>
        <v>625374.34000000008</v>
      </c>
      <c r="Z18" s="5">
        <f>SUM(Z6:Z17)</f>
        <v>877160.2699999999</v>
      </c>
      <c r="AA18" s="5">
        <f>SUM(AA6:AA17)</f>
        <v>668527.33000000007</v>
      </c>
      <c r="AB18" s="5">
        <f>SUM(AB6:AB17)</f>
        <v>316393.50999999995</v>
      </c>
      <c r="AC18" s="5">
        <f>SUM(AC6:AC17)</f>
        <v>247755.23999999993</v>
      </c>
      <c r="AD18" s="5">
        <f>SUM(AD6:AD17)</f>
        <v>1171661.1199999999</v>
      </c>
      <c r="AE18" s="5">
        <f>SUM(AE6:AE17)</f>
        <v>902179.05</v>
      </c>
    </row>
    <row r="19" spans="1:3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</row>
    <row r="20" spans="1:3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</row>
    <row r="21" spans="1:31" x14ac:dyDescent="0.25">
      <c r="A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</row>
    <row r="22" spans="1:31" x14ac:dyDescent="0.25">
      <c r="A22" s="6"/>
      <c r="B22" s="6"/>
      <c r="C22" s="6"/>
      <c r="D22" s="6"/>
      <c r="E22" s="7"/>
      <c r="F22" s="6"/>
      <c r="G22" s="7"/>
      <c r="H22" s="6"/>
      <c r="I22" s="6"/>
      <c r="J22" s="7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</row>
    <row r="23" spans="1:31" x14ac:dyDescent="0.25">
      <c r="A23" s="6"/>
      <c r="B23" s="6"/>
      <c r="C23" s="6"/>
      <c r="D23" s="6"/>
      <c r="E23" s="7"/>
      <c r="F23" s="6"/>
      <c r="G23" s="7"/>
      <c r="H23" s="6"/>
      <c r="I23" s="6"/>
      <c r="J23" s="6"/>
      <c r="K23" s="6"/>
      <c r="L23" s="6"/>
      <c r="M23" s="6"/>
      <c r="N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</row>
    <row r="24" spans="1:31" ht="18.75" x14ac:dyDescent="0.3">
      <c r="A24" s="6"/>
      <c r="B24" s="8" t="s">
        <v>23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8"/>
      <c r="P24" s="8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</row>
    <row r="25" spans="1:3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</row>
    <row r="26" spans="1:3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</row>
    <row r="27" spans="1:3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</row>
    <row r="28" spans="1:3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</row>
    <row r="29" spans="1:3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</row>
    <row r="30" spans="1:3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</row>
    <row r="31" spans="1:3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</row>
    <row r="32" spans="1:3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3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</row>
    <row r="34" spans="1:3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</row>
  </sheetData>
  <mergeCells count="22">
    <mergeCell ref="T4:U4"/>
    <mergeCell ref="A17:B18"/>
    <mergeCell ref="J4:K4"/>
    <mergeCell ref="L4:M4"/>
    <mergeCell ref="N4:O4"/>
    <mergeCell ref="P4:Q4"/>
    <mergeCell ref="A1:AE1"/>
    <mergeCell ref="A2:AE2"/>
    <mergeCell ref="A3:A5"/>
    <mergeCell ref="B3:B5"/>
    <mergeCell ref="C3:C5"/>
    <mergeCell ref="D3:AA3"/>
    <mergeCell ref="AB3:AE3"/>
    <mergeCell ref="D4:E4"/>
    <mergeCell ref="F4:G4"/>
    <mergeCell ref="H4:I4"/>
    <mergeCell ref="V4:W4"/>
    <mergeCell ref="X4:Y4"/>
    <mergeCell ref="Z4:AA4"/>
    <mergeCell ref="AB4:AC4"/>
    <mergeCell ref="AD4:AE4"/>
    <mergeCell ref="R4:S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ВІДПОВІДЬ НА ЗАПИТ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Вера</dc:creator>
  <cp:lastModifiedBy>ССД ХОВА Служба у справах дітей ХОВА</cp:lastModifiedBy>
  <cp:lastPrinted>2026-03-06T08:49:10Z</cp:lastPrinted>
  <dcterms:created xsi:type="dcterms:W3CDTF">2026-03-06T08:40:50Z</dcterms:created>
  <dcterms:modified xsi:type="dcterms:W3CDTF">2026-03-20T12:30:17Z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137edf4-57c1-4905-bbd0-a54792bce424_Enabled">
    <vt:lpwstr>true</vt:lpwstr>
  </property>
  <property fmtid="{D5CDD505-2E9C-101B-9397-08002B2CF9AE}" pid="3" name="MSIP_Label_6137edf4-57c1-4905-bbd0-a54792bce424_SetDate">
    <vt:lpwstr>2026-03-20T08:21:15Z</vt:lpwstr>
  </property>
  <property fmtid="{D5CDD505-2E9C-101B-9397-08002B2CF9AE}" pid="4" name="MSIP_Label_6137edf4-57c1-4905-bbd0-a54792bce424_Method">
    <vt:lpwstr>Standard</vt:lpwstr>
  </property>
  <property fmtid="{D5CDD505-2E9C-101B-9397-08002B2CF9AE}" pid="5" name="MSIP_Label_6137edf4-57c1-4905-bbd0-a54792bce424_Name">
    <vt:lpwstr>defa4170-0d19-0005-0004-bc88714345d2</vt:lpwstr>
  </property>
  <property fmtid="{D5CDD505-2E9C-101B-9397-08002B2CF9AE}" pid="6" name="MSIP_Label_6137edf4-57c1-4905-bbd0-a54792bce424_SiteId">
    <vt:lpwstr>c3285baa-5e1e-4886-a250-4969f8331095</vt:lpwstr>
  </property>
  <property fmtid="{D5CDD505-2E9C-101B-9397-08002B2CF9AE}" pid="7" name="MSIP_Label_6137edf4-57c1-4905-bbd0-a54792bce424_ActionId">
    <vt:lpwstr>0766780b-20fb-4f1f-8e05-7902f041fc3d</vt:lpwstr>
  </property>
  <property fmtid="{D5CDD505-2E9C-101B-9397-08002B2CF9AE}" pid="8" name="MSIP_Label_6137edf4-57c1-4905-bbd0-a54792bce424_ContentBits">
    <vt:lpwstr>0</vt:lpwstr>
  </property>
  <property fmtid="{D5CDD505-2E9C-101B-9397-08002B2CF9AE}" pid="9" name="MSIP_Label_6137edf4-57c1-4905-bbd0-a54792bce424_Tag">
    <vt:lpwstr>10, 3, 0, 1</vt:lpwstr>
  </property>
</Properties>
</file>